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workbookProtection lockStructure="1"/>
  <bookViews>
    <workbookView xWindow="0" yWindow="0" windowWidth="28800" windowHeight="1243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AJ36" i="5" l="1"/>
  <c r="AJ34" i="5"/>
  <c r="AJ33" i="5"/>
  <c r="AJ19" i="5"/>
  <c r="AJ20" i="5"/>
  <c r="C47" i="3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 s="1"/>
  <c r="J21" i="11"/>
  <c r="I21" i="13" s="1"/>
  <c r="D21" i="11"/>
  <c r="J20" i="11"/>
  <c r="I20" i="13" s="1"/>
  <c r="D20" i="11"/>
  <c r="E20" i="13" s="1"/>
  <c r="J19" i="11"/>
  <c r="I19" i="13" s="1"/>
  <c r="D19" i="11"/>
  <c r="E19" i="13" s="1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8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C45" i="4"/>
  <c r="C33" i="4"/>
  <c r="A21" i="11"/>
  <c r="E21" i="13"/>
  <c r="E12" i="13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K91" i="4"/>
  <c r="K90" i="4"/>
  <c r="C3" i="4"/>
  <c r="T283" i="5"/>
  <c r="K131" i="4"/>
  <c r="E14" i="13"/>
  <c r="A14" i="11"/>
  <c r="O8" i="5"/>
  <c r="A15" i="11" l="1"/>
  <c r="A20" i="11"/>
  <c r="A22" i="11"/>
  <c r="K130" i="4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G5" i="5" l="1"/>
  <c r="W8" i="5" s="1"/>
  <c r="E16" i="5"/>
  <c r="B14" i="11" s="1"/>
  <c r="AD16" i="5"/>
  <c r="AD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E17" i="5" l="1"/>
  <c r="E18" i="5" s="1"/>
  <c r="A14" i="13"/>
  <c r="H17" i="6"/>
  <c r="T17" i="5" s="1"/>
  <c r="G17" i="12" s="1"/>
  <c r="AN17" i="6"/>
  <c r="BC17" i="6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25" i="4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E18" i="6"/>
  <c r="AQ18" i="6"/>
  <c r="BA18" i="6"/>
  <c r="BB18" i="6"/>
  <c r="G18" i="12"/>
  <c r="X18" i="5"/>
  <c r="AB18" i="6" s="1"/>
  <c r="AC18" i="6" l="1"/>
  <c r="O14" i="5"/>
  <c r="E14" i="6" s="1"/>
  <c r="J20" i="12"/>
  <c r="K20" i="12" s="1"/>
  <c r="U29" i="4"/>
  <c r="K32" i="4" s="1"/>
  <c r="U109" i="4"/>
  <c r="K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W22" i="5" s="1"/>
  <c r="H22" i="12" s="1"/>
  <c r="O12" i="10"/>
  <c r="N11" i="10"/>
  <c r="BD12" i="6"/>
  <c r="BE13" i="6"/>
  <c r="BD18" i="6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J112" i="4" l="1"/>
  <c r="J32" i="4"/>
  <c r="D14" i="12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G23" i="5" l="1"/>
  <c r="AH20" i="6"/>
  <c r="AF20" i="6"/>
  <c r="AX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L23" i="12" l="1"/>
  <c r="K23" i="12" s="1"/>
  <c r="F24" i="5"/>
  <c r="K24" i="5"/>
  <c r="X18" i="12"/>
  <c r="AG21" i="6"/>
  <c r="AC21" i="6"/>
  <c r="A23" i="6"/>
  <c r="N23" i="6" s="1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F22" i="6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X23" i="5"/>
  <c r="AB21" i="5"/>
  <c r="C21" i="6"/>
  <c r="B26" i="7"/>
  <c r="C27" i="7"/>
  <c r="H24" i="6"/>
  <c r="T24" i="5" s="1"/>
  <c r="C21" i="12"/>
  <c r="O21" i="12"/>
  <c r="M21" i="12"/>
  <c r="AO21" i="12"/>
  <c r="Y20" i="12"/>
  <c r="A24" i="6"/>
  <c r="N24" i="6" s="1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I23" i="12"/>
  <c r="L23" i="5"/>
  <c r="AM23" i="5"/>
  <c r="Z23" i="5"/>
  <c r="A25" i="6"/>
  <c r="N25" i="6" s="1"/>
  <c r="H25" i="6"/>
  <c r="T25" i="5" s="1"/>
  <c r="X20" i="12"/>
  <c r="W20" i="12"/>
  <c r="M24" i="6"/>
  <c r="AI24" i="6" s="1"/>
  <c r="R11" i="9"/>
  <c r="S12" i="9"/>
  <c r="T19" i="12"/>
  <c r="U19" i="12"/>
  <c r="V19" i="12"/>
  <c r="W21" i="12" l="1"/>
  <c r="T21" i="12" s="1"/>
  <c r="L26" i="12"/>
  <c r="K26" i="12" s="1"/>
  <c r="AE27" i="5"/>
  <c r="H27" i="5"/>
  <c r="G27" i="5"/>
  <c r="W27" i="5"/>
  <c r="H27" i="12" s="1"/>
  <c r="K27" i="5"/>
  <c r="F27" i="5"/>
  <c r="E27" i="5"/>
  <c r="J27" i="5"/>
  <c r="B27" i="6"/>
  <c r="D27" i="5"/>
  <c r="B27" i="12" s="1"/>
  <c r="AD27" i="5"/>
  <c r="N27" i="5"/>
  <c r="D27" i="6" s="1"/>
  <c r="B27" i="5"/>
  <c r="C28" i="5" s="1"/>
  <c r="R28" i="5" s="1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AB23" i="5"/>
  <c r="C23" i="12"/>
  <c r="O23" i="12"/>
  <c r="M23" i="12"/>
  <c r="AO23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C29" i="7"/>
  <c r="B28" i="7"/>
  <c r="L27" i="12"/>
  <c r="J27" i="12"/>
  <c r="AK24" i="6"/>
  <c r="AM24" i="5"/>
  <c r="L24" i="5"/>
  <c r="I24" i="12"/>
  <c r="Z24" i="5"/>
  <c r="N28" i="5" l="1"/>
  <c r="D28" i="6" s="1"/>
  <c r="V21" i="12"/>
  <c r="U21" i="12"/>
  <c r="AQ25" i="6"/>
  <c r="Y23" i="12"/>
  <c r="W23" i="12" s="1"/>
  <c r="AG25" i="6"/>
  <c r="W28" i="5"/>
  <c r="H28" i="12" s="1"/>
  <c r="H28" i="5"/>
  <c r="B28" i="5"/>
  <c r="C29" i="5" s="1"/>
  <c r="R29" i="5" s="1"/>
  <c r="G28" i="5"/>
  <c r="E28" i="5"/>
  <c r="AE28" i="5"/>
  <c r="A28" i="12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N26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C30" i="7"/>
  <c r="B29" i="7"/>
  <c r="U12" i="9"/>
  <c r="T11" i="9"/>
  <c r="H27" i="6"/>
  <c r="T27" i="5" s="1"/>
  <c r="A27" i="6"/>
  <c r="N27" i="6" s="1"/>
  <c r="AB24" i="5"/>
  <c r="C24" i="6"/>
  <c r="L25" i="5"/>
  <c r="I25" i="12"/>
  <c r="AM25" i="5"/>
  <c r="Z25" i="5"/>
  <c r="N23" i="12"/>
  <c r="G26" i="12"/>
  <c r="X26" i="5"/>
  <c r="AG26" i="6"/>
  <c r="AB26" i="6"/>
  <c r="F29" i="5" l="1"/>
  <c r="X23" i="12"/>
  <c r="B29" i="6"/>
  <c r="Y24" i="12"/>
  <c r="X24" i="12" s="1"/>
  <c r="G29" i="5"/>
  <c r="H29" i="5"/>
  <c r="A29" i="12"/>
  <c r="B29" i="5"/>
  <c r="E29" i="5"/>
  <c r="W29" i="5"/>
  <c r="H29" i="12" s="1"/>
  <c r="AE29" i="5"/>
  <c r="AD29" i="5"/>
  <c r="C30" i="5"/>
  <c r="N29" i="5"/>
  <c r="D29" i="6" s="1"/>
  <c r="W12" i="10"/>
  <c r="V11" i="10"/>
  <c r="N24" i="12"/>
  <c r="A28" i="6"/>
  <c r="N28" i="6" s="1"/>
  <c r="AA25" i="5"/>
  <c r="AB25" i="5"/>
  <c r="C25" i="6"/>
  <c r="O25" i="5"/>
  <c r="G27" i="12"/>
  <c r="X27" i="5"/>
  <c r="L26" i="5"/>
  <c r="AM26" i="5"/>
  <c r="I26" i="12"/>
  <c r="Z26" i="5"/>
  <c r="U23" i="12"/>
  <c r="V23" i="12"/>
  <c r="T23" i="12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W24" i="12" l="1"/>
  <c r="V24" i="12" s="1"/>
  <c r="E30" i="5"/>
  <c r="N25" i="12"/>
  <c r="AD30" i="5"/>
  <c r="F30" i="5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N29" i="6" s="1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E25" i="6"/>
  <c r="D25" i="12"/>
  <c r="G28" i="12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A26" i="5"/>
  <c r="AB26" i="5"/>
  <c r="C26" i="12"/>
  <c r="O26" i="12"/>
  <c r="M26" i="12"/>
  <c r="AO26" i="12"/>
  <c r="C26" i="6"/>
  <c r="O26" i="5"/>
  <c r="AH27" i="6"/>
  <c r="H29" i="6"/>
  <c r="T29" i="5" s="1"/>
  <c r="U24" i="12" l="1"/>
  <c r="T24" i="12"/>
  <c r="AI28" i="6"/>
  <c r="AZ28" i="6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AA27" i="5"/>
  <c r="AB27" i="5"/>
  <c r="E26" i="6"/>
  <c r="D26" i="12"/>
  <c r="N26" i="12"/>
  <c r="B32" i="7"/>
  <c r="C33" i="7"/>
  <c r="C27" i="6"/>
  <c r="O27" i="5"/>
  <c r="C27" i="12"/>
  <c r="AO27" i="12"/>
  <c r="M27" i="12"/>
  <c r="O27" i="12"/>
  <c r="U25" i="12"/>
  <c r="T25" i="12"/>
  <c r="V25" i="12"/>
  <c r="W11" i="9"/>
  <c r="X12" i="9"/>
  <c r="X26" i="12" l="1"/>
  <c r="C33" i="5"/>
  <c r="K33" i="5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E27" i="6"/>
  <c r="D27" i="12"/>
  <c r="T26" i="12"/>
  <c r="U26" i="12"/>
  <c r="V26" i="12"/>
  <c r="X11" i="9"/>
  <c r="Y12" i="9"/>
  <c r="C34" i="7"/>
  <c r="B33" i="7"/>
  <c r="G30" i="12"/>
  <c r="X30" i="5"/>
  <c r="H31" i="6"/>
  <c r="T31" i="5" s="1"/>
  <c r="A31" i="6"/>
  <c r="M31" i="6" l="1"/>
  <c r="AT31" i="6" s="1"/>
  <c r="E33" i="5"/>
  <c r="BG30" i="6"/>
  <c r="W33" i="5"/>
  <c r="H33" i="12" s="1"/>
  <c r="A33" i="12"/>
  <c r="J33" i="12" s="1"/>
  <c r="J33" i="5"/>
  <c r="H33" i="5"/>
  <c r="AD33" i="5"/>
  <c r="N33" i="5"/>
  <c r="D33" i="6" s="1"/>
  <c r="B33" i="5"/>
  <c r="G33" i="5"/>
  <c r="C34" i="5"/>
  <c r="B34" i="6" s="1"/>
  <c r="F33" i="5"/>
  <c r="B33" i="6"/>
  <c r="AE33" i="5"/>
  <c r="D33" i="5"/>
  <c r="B33" i="12" s="1"/>
  <c r="AU30" i="6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H32" i="6"/>
  <c r="T32" i="5" s="1"/>
  <c r="G32" i="12" s="1"/>
  <c r="Y11" i="9"/>
  <c r="Z12" i="9"/>
  <c r="G31" i="12"/>
  <c r="X31" i="5"/>
  <c r="L30" i="5"/>
  <c r="I30" i="12"/>
  <c r="AM30" i="5"/>
  <c r="Z30" i="5"/>
  <c r="B34" i="7"/>
  <c r="C35" i="7"/>
  <c r="X27" i="12"/>
  <c r="W27" i="12"/>
  <c r="AQ31" i="6" l="1"/>
  <c r="AX31" i="6"/>
  <c r="AK31" i="6"/>
  <c r="AO31" i="6"/>
  <c r="AS31" i="6"/>
  <c r="AM31" i="6"/>
  <c r="AI31" i="6"/>
  <c r="AP31" i="6"/>
  <c r="BB31" i="6"/>
  <c r="AC31" i="6"/>
  <c r="AU31" i="6"/>
  <c r="AD31" i="6"/>
  <c r="AB31" i="6"/>
  <c r="BG31" i="6"/>
  <c r="AH31" i="6"/>
  <c r="BF31" i="6"/>
  <c r="AY31" i="6"/>
  <c r="AV31" i="6"/>
  <c r="AN31" i="6"/>
  <c r="BC31" i="6"/>
  <c r="AF31" i="6"/>
  <c r="BE31" i="6"/>
  <c r="AZ31" i="6"/>
  <c r="AE31" i="6"/>
  <c r="AJ31" i="6"/>
  <c r="BD31" i="6"/>
  <c r="BA31" i="6"/>
  <c r="AR31" i="6"/>
  <c r="AG31" i="6"/>
  <c r="L33" i="12"/>
  <c r="K33" i="12" s="1"/>
  <c r="G34" i="5"/>
  <c r="E34" i="5"/>
  <c r="D34" i="5"/>
  <c r="B34" i="12" s="1"/>
  <c r="A34" i="12"/>
  <c r="L34" i="12" s="1"/>
  <c r="J34" i="5"/>
  <c r="H34" i="5"/>
  <c r="F34" i="5"/>
  <c r="AE34" i="5"/>
  <c r="AD34" i="5"/>
  <c r="B34" i="5"/>
  <c r="K34" i="5"/>
  <c r="N34" i="5"/>
  <c r="D34" i="6" s="1"/>
  <c r="C35" i="5"/>
  <c r="AE35" i="5" s="1"/>
  <c r="W34" i="5"/>
  <c r="H34" i="12" s="1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AB12" i="10"/>
  <c r="AA11" i="10"/>
  <c r="AH32" i="6"/>
  <c r="AI32" i="6"/>
  <c r="AJ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AB30" i="5"/>
  <c r="C30" i="6"/>
  <c r="AG32" i="6"/>
  <c r="AE32" i="6"/>
  <c r="H33" i="6"/>
  <c r="T33" i="5" s="1"/>
  <c r="J34" i="12" l="1"/>
  <c r="K34" i="12" s="1"/>
  <c r="AD35" i="5"/>
  <c r="N35" i="5"/>
  <c r="D35" i="6" s="1"/>
  <c r="J35" i="5"/>
  <c r="E35" i="5"/>
  <c r="H35" i="5"/>
  <c r="D35" i="5"/>
  <c r="B35" i="12" s="1"/>
  <c r="W35" i="5"/>
  <c r="H35" i="12" s="1"/>
  <c r="B35" i="6"/>
  <c r="A35" i="12"/>
  <c r="L35" i="12" s="1"/>
  <c r="G35" i="5"/>
  <c r="K35" i="5"/>
  <c r="B35" i="5"/>
  <c r="C36" i="5"/>
  <c r="AD36" i="5" s="1"/>
  <c r="F35" i="5"/>
  <c r="M33" i="6"/>
  <c r="BC33" i="6" s="1"/>
  <c r="AB11" i="10"/>
  <c r="AC12" i="10"/>
  <c r="Y30" i="12"/>
  <c r="W30" i="12" s="1"/>
  <c r="H34" i="6"/>
  <c r="T34" i="5" s="1"/>
  <c r="A34" i="6"/>
  <c r="C31" i="12"/>
  <c r="M31" i="12"/>
  <c r="AO31" i="12"/>
  <c r="O31" i="12"/>
  <c r="G33" i="12"/>
  <c r="X33" i="5"/>
  <c r="AA11" i="9"/>
  <c r="AB12" i="9"/>
  <c r="AB31" i="5"/>
  <c r="C31" i="6"/>
  <c r="N30" i="12"/>
  <c r="B36" i="7"/>
  <c r="C37" i="7"/>
  <c r="N36" i="5" l="1"/>
  <c r="D36" i="6" s="1"/>
  <c r="K36" i="5"/>
  <c r="C37" i="5"/>
  <c r="J37" i="5" s="1"/>
  <c r="J36" i="5"/>
  <c r="AE36" i="5"/>
  <c r="D36" i="5"/>
  <c r="B36" i="12" s="1"/>
  <c r="J35" i="12"/>
  <c r="K35" i="12" s="1"/>
  <c r="B36" i="6"/>
  <c r="A36" i="12"/>
  <c r="L36" i="12" s="1"/>
  <c r="H36" i="5"/>
  <c r="W36" i="5"/>
  <c r="H36" i="12" s="1"/>
  <c r="E36" i="5"/>
  <c r="F36" i="5"/>
  <c r="B36" i="5"/>
  <c r="G36" i="5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AQ33" i="6"/>
  <c r="AN33" i="6"/>
  <c r="AP33" i="6"/>
  <c r="AY33" i="6"/>
  <c r="AS33" i="6"/>
  <c r="AV33" i="6"/>
  <c r="BF33" i="6"/>
  <c r="AX33" i="6"/>
  <c r="BB33" i="6"/>
  <c r="X30" i="12"/>
  <c r="A35" i="6"/>
  <c r="M35" i="6" s="1"/>
  <c r="Y31" i="12"/>
  <c r="X31" i="12" s="1"/>
  <c r="AD12" i="10"/>
  <c r="AC11" i="10"/>
  <c r="AC12" i="9"/>
  <c r="AB11" i="9"/>
  <c r="AM33" i="5"/>
  <c r="I33" i="12"/>
  <c r="L33" i="5"/>
  <c r="Z33" i="5"/>
  <c r="B37" i="7"/>
  <c r="C38" i="7"/>
  <c r="T30" i="12"/>
  <c r="V30" i="12"/>
  <c r="U30" i="12"/>
  <c r="H35" i="6"/>
  <c r="T35" i="5" s="1"/>
  <c r="M34" i="6"/>
  <c r="G34" i="12"/>
  <c r="X34" i="5"/>
  <c r="D37" i="5" l="1"/>
  <c r="B37" i="12" s="1"/>
  <c r="A37" i="12"/>
  <c r="J37" i="12" s="1"/>
  <c r="AD37" i="5"/>
  <c r="G37" i="5"/>
  <c r="H37" i="5"/>
  <c r="N37" i="5"/>
  <c r="D37" i="6" s="1"/>
  <c r="W37" i="5"/>
  <c r="H37" i="12" s="1"/>
  <c r="E37" i="5"/>
  <c r="B37" i="6"/>
  <c r="AE37" i="5"/>
  <c r="K37" i="5"/>
  <c r="C38" i="5"/>
  <c r="F37" i="5"/>
  <c r="B37" i="5"/>
  <c r="J36" i="12"/>
  <c r="K36" i="12" s="1"/>
  <c r="W31" i="12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AB35" i="6" s="1"/>
  <c r="AH35" i="6"/>
  <c r="AK35" i="6"/>
  <c r="AD35" i="6"/>
  <c r="AG35" i="6"/>
  <c r="C33" i="6"/>
  <c r="AC11" i="9"/>
  <c r="AD12" i="9"/>
  <c r="AF35" i="6"/>
  <c r="AE35" i="6"/>
  <c r="AI35" i="6"/>
  <c r="B38" i="7"/>
  <c r="C39" i="7"/>
  <c r="H36" i="6"/>
  <c r="T36" i="5" s="1"/>
  <c r="AB33" i="5"/>
  <c r="C33" i="12"/>
  <c r="M33" i="12"/>
  <c r="AO33" i="12"/>
  <c r="O33" i="12"/>
  <c r="AC35" i="6" l="1"/>
  <c r="L37" i="12"/>
  <c r="K37" i="12" s="1"/>
  <c r="H38" i="5"/>
  <c r="AD38" i="5"/>
  <c r="D38" i="5"/>
  <c r="B38" i="12" s="1"/>
  <c r="K38" i="5"/>
  <c r="AE38" i="5"/>
  <c r="A38" i="12"/>
  <c r="J38" i="12" s="1"/>
  <c r="F38" i="5"/>
  <c r="C39" i="5"/>
  <c r="B39" i="6" s="1"/>
  <c r="E38" i="5"/>
  <c r="W38" i="5"/>
  <c r="H38" i="12" s="1"/>
  <c r="N38" i="5"/>
  <c r="D38" i="6" s="1"/>
  <c r="G38" i="5"/>
  <c r="J38" i="5"/>
  <c r="B38" i="6"/>
  <c r="B38" i="5"/>
  <c r="N33" i="12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BF36" i="6"/>
  <c r="AQ36" i="6"/>
  <c r="AJ36" i="6"/>
  <c r="AH36" i="6"/>
  <c r="BE36" i="6"/>
  <c r="AP36" i="6"/>
  <c r="H37" i="6"/>
  <c r="T37" i="5" s="1"/>
  <c r="AM35" i="5"/>
  <c r="I35" i="12"/>
  <c r="L35" i="5"/>
  <c r="Z35" i="5"/>
  <c r="AB34" i="5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AB36" i="6" s="1"/>
  <c r="C40" i="7"/>
  <c r="B39" i="7"/>
  <c r="AE12" i="9"/>
  <c r="AE11" i="9" s="1"/>
  <c r="AD11" i="9"/>
  <c r="C34" i="6"/>
  <c r="C34" i="12"/>
  <c r="O34" i="12"/>
  <c r="M34" i="12"/>
  <c r="AO34" i="12"/>
  <c r="AC36" i="6" l="1"/>
  <c r="L38" i="12"/>
  <c r="K38" i="12" s="1"/>
  <c r="AE39" i="5"/>
  <c r="K39" i="5"/>
  <c r="H39" i="5"/>
  <c r="G39" i="5"/>
  <c r="N39" i="5"/>
  <c r="D39" i="6" s="1"/>
  <c r="W39" i="5"/>
  <c r="H39" i="12" s="1"/>
  <c r="C40" i="5"/>
  <c r="D39" i="5"/>
  <c r="B39" i="12" s="1"/>
  <c r="E39" i="5"/>
  <c r="J39" i="5"/>
  <c r="B39" i="5"/>
  <c r="F39" i="5"/>
  <c r="AD39" i="5"/>
  <c r="A39" i="12"/>
  <c r="L39" i="12" s="1"/>
  <c r="X33" i="12"/>
  <c r="A38" i="6"/>
  <c r="M38" i="6" s="1"/>
  <c r="AV38" i="6" s="1"/>
  <c r="Y34" i="12"/>
  <c r="W34" i="12" s="1"/>
  <c r="AS37" i="6"/>
  <c r="AU37" i="6"/>
  <c r="AN37" i="6"/>
  <c r="AP37" i="6"/>
  <c r="AV37" i="6"/>
  <c r="BB37" i="6"/>
  <c r="AK37" i="6"/>
  <c r="N34" i="12"/>
  <c r="B40" i="7"/>
  <c r="C41" i="7"/>
  <c r="AB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V33" i="12"/>
  <c r="U33" i="12"/>
  <c r="T33" i="12"/>
  <c r="AM36" i="5"/>
  <c r="I36" i="12"/>
  <c r="L36" i="5"/>
  <c r="Z36" i="5"/>
  <c r="C35" i="6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H38" i="6"/>
  <c r="T38" i="5" s="1"/>
  <c r="G40" i="5" l="1"/>
  <c r="C41" i="5"/>
  <c r="J41" i="5" s="1"/>
  <c r="W40" i="5"/>
  <c r="H40" i="12" s="1"/>
  <c r="E40" i="5"/>
  <c r="A40" i="12"/>
  <c r="J40" i="12" s="1"/>
  <c r="B40" i="6"/>
  <c r="AD40" i="5"/>
  <c r="J40" i="5"/>
  <c r="AE40" i="5"/>
  <c r="N40" i="5"/>
  <c r="D40" i="6" s="1"/>
  <c r="H40" i="5"/>
  <c r="D40" i="5"/>
  <c r="B40" i="12" s="1"/>
  <c r="K40" i="5"/>
  <c r="J39" i="12"/>
  <c r="K39" i="12" s="1"/>
  <c r="B40" i="5"/>
  <c r="F40" i="5"/>
  <c r="X34" i="12"/>
  <c r="A39" i="6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L37" i="5"/>
  <c r="I37" i="12"/>
  <c r="AM37" i="5"/>
  <c r="Z37" i="5"/>
  <c r="C36" i="12"/>
  <c r="M36" i="12"/>
  <c r="O36" i="12"/>
  <c r="AO36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AB36" i="5"/>
  <c r="C36" i="6"/>
  <c r="H39" i="6"/>
  <c r="T39" i="5" s="1"/>
  <c r="AF41" i="5"/>
  <c r="L40" i="12" l="1"/>
  <c r="K40" i="12" s="1"/>
  <c r="B41" i="6"/>
  <c r="K41" i="5"/>
  <c r="AD41" i="5"/>
  <c r="AE41" i="5"/>
  <c r="D41" i="5"/>
  <c r="B41" i="12" s="1"/>
  <c r="H41" i="5"/>
  <c r="C42" i="5"/>
  <c r="A42" i="12" s="1"/>
  <c r="W41" i="5"/>
  <c r="H41" i="12" s="1"/>
  <c r="N41" i="5"/>
  <c r="D41" i="6" s="1"/>
  <c r="F41" i="5"/>
  <c r="A41" i="12"/>
  <c r="J41" i="12" s="1"/>
  <c r="B41" i="5"/>
  <c r="E41" i="5"/>
  <c r="G41" i="5"/>
  <c r="AG41" i="5"/>
  <c r="S41" i="5"/>
  <c r="F41" i="12" s="1"/>
  <c r="R41" i="5"/>
  <c r="E41" i="12" s="1"/>
  <c r="M39" i="6"/>
  <c r="AN39" i="6" s="1"/>
  <c r="X35" i="12"/>
  <c r="Y36" i="12"/>
  <c r="W36" i="12" s="1"/>
  <c r="H40" i="6"/>
  <c r="T40" i="5" s="1"/>
  <c r="A40" i="6"/>
  <c r="B42" i="7"/>
  <c r="C43" i="7"/>
  <c r="AA37" i="5"/>
  <c r="AB37" i="5"/>
  <c r="C37" i="12"/>
  <c r="O37" i="12"/>
  <c r="M37" i="12"/>
  <c r="AO37" i="12"/>
  <c r="L38" i="5"/>
  <c r="AM38" i="5"/>
  <c r="I38" i="12"/>
  <c r="Z38" i="5"/>
  <c r="G39" i="12"/>
  <c r="X39" i="5"/>
  <c r="V35" i="12"/>
  <c r="T35" i="12"/>
  <c r="U35" i="12"/>
  <c r="N36" i="12"/>
  <c r="C37" i="6"/>
  <c r="O37" i="5"/>
  <c r="AF42" i="5"/>
  <c r="K42" i="5" l="1"/>
  <c r="J42" i="5"/>
  <c r="AD42" i="5"/>
  <c r="N42" i="5"/>
  <c r="D42" i="6" s="1"/>
  <c r="B42" i="6"/>
  <c r="D42" i="5"/>
  <c r="B42" i="12" s="1"/>
  <c r="W42" i="5"/>
  <c r="H42" i="12" s="1"/>
  <c r="AE42" i="5"/>
  <c r="F42" i="5"/>
  <c r="B42" i="5"/>
  <c r="C43" i="5" s="1"/>
  <c r="W43" i="5" s="1"/>
  <c r="H43" i="12" s="1"/>
  <c r="L41" i="12"/>
  <c r="K41" i="12" s="1"/>
  <c r="E42" i="5"/>
  <c r="G42" i="5"/>
  <c r="H42" i="5"/>
  <c r="F41" i="6"/>
  <c r="AG42" i="5"/>
  <c r="S42" i="5"/>
  <c r="F42" i="12" s="1"/>
  <c r="R42" i="5"/>
  <c r="F42" i="6" s="1"/>
  <c r="X36" i="12"/>
  <c r="AP39" i="6"/>
  <c r="AM39" i="6"/>
  <c r="BE39" i="6"/>
  <c r="AX39" i="6"/>
  <c r="AR39" i="6"/>
  <c r="BA39" i="6"/>
  <c r="AB39" i="6"/>
  <c r="AT39" i="6"/>
  <c r="AF39" i="6"/>
  <c r="AK39" i="6"/>
  <c r="AJ39" i="6"/>
  <c r="AZ39" i="6"/>
  <c r="AI39" i="6"/>
  <c r="AD39" i="6"/>
  <c r="AE39" i="6"/>
  <c r="AC39" i="6"/>
  <c r="BF39" i="6"/>
  <c r="AU39" i="6"/>
  <c r="AQ39" i="6"/>
  <c r="BG39" i="6"/>
  <c r="AV39" i="6"/>
  <c r="BD39" i="6"/>
  <c r="AY39" i="6"/>
  <c r="AO39" i="6"/>
  <c r="BB39" i="6"/>
  <c r="AH39" i="6"/>
  <c r="AS39" i="6"/>
  <c r="AG39" i="6"/>
  <c r="BC39" i="6"/>
  <c r="Y37" i="12"/>
  <c r="X37" i="12" s="1"/>
  <c r="A41" i="6"/>
  <c r="N37" i="12"/>
  <c r="J42" i="12"/>
  <c r="L42" i="12"/>
  <c r="AB38" i="5"/>
  <c r="AA38" i="5"/>
  <c r="T36" i="12"/>
  <c r="V36" i="12"/>
  <c r="U36" i="12"/>
  <c r="B43" i="7"/>
  <c r="C44" i="7"/>
  <c r="E37" i="6"/>
  <c r="D37" i="12"/>
  <c r="L39" i="5"/>
  <c r="I39" i="12"/>
  <c r="AM39" i="5"/>
  <c r="Z39" i="5"/>
  <c r="C38" i="12"/>
  <c r="AO38" i="12"/>
  <c r="O38" i="12"/>
  <c r="M38" i="12"/>
  <c r="C38" i="6"/>
  <c r="O38" i="5"/>
  <c r="H41" i="6"/>
  <c r="T41" i="5" s="1"/>
  <c r="G41" i="6"/>
  <c r="M40" i="6"/>
  <c r="G40" i="12"/>
  <c r="X40" i="5"/>
  <c r="AF43" i="5"/>
  <c r="E42" i="12" l="1"/>
  <c r="B43" i="6"/>
  <c r="AE43" i="5"/>
  <c r="C44" i="5"/>
  <c r="AE44" i="5" s="1"/>
  <c r="B43" i="5"/>
  <c r="N43" i="5"/>
  <c r="D43" i="6" s="1"/>
  <c r="F43" i="5"/>
  <c r="H43" i="5"/>
  <c r="G43" i="5"/>
  <c r="A43" i="12"/>
  <c r="AD43" i="5"/>
  <c r="E43" i="5"/>
  <c r="R43" i="5"/>
  <c r="F43" i="6" s="1"/>
  <c r="AG43" i="5"/>
  <c r="S43" i="5"/>
  <c r="F43" i="12" s="1"/>
  <c r="W37" i="12"/>
  <c r="U37" i="12" s="1"/>
  <c r="A42" i="6"/>
  <c r="M42" i="6" s="1"/>
  <c r="AS42" i="6" s="1"/>
  <c r="M41" i="6"/>
  <c r="AP41" i="6" s="1"/>
  <c r="N38" i="12"/>
  <c r="K42" i="12"/>
  <c r="AA39" i="5"/>
  <c r="AB39" i="5"/>
  <c r="C39" i="6"/>
  <c r="O39" i="5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E38" i="6"/>
  <c r="D38" i="12"/>
  <c r="Y38" i="12"/>
  <c r="C39" i="12"/>
  <c r="O39" i="12"/>
  <c r="M39" i="12"/>
  <c r="AO39" i="12"/>
  <c r="B44" i="7"/>
  <c r="C45" i="7"/>
  <c r="G42" i="6"/>
  <c r="H42" i="6"/>
  <c r="T42" i="5" s="1"/>
  <c r="AF44" i="5"/>
  <c r="H44" i="5" l="1"/>
  <c r="B44" i="5"/>
  <c r="C45" i="5" s="1"/>
  <c r="A45" i="12" s="1"/>
  <c r="N44" i="5"/>
  <c r="D44" i="6" s="1"/>
  <c r="W44" i="5"/>
  <c r="H44" i="12" s="1"/>
  <c r="J44" i="5"/>
  <c r="E44" i="5"/>
  <c r="F44" i="5"/>
  <c r="A44" i="12"/>
  <c r="J44" i="12" s="1"/>
  <c r="G44" i="5"/>
  <c r="AD44" i="5"/>
  <c r="B44" i="6"/>
  <c r="K44" i="5"/>
  <c r="D44" i="5"/>
  <c r="B44" i="12" s="1"/>
  <c r="E43" i="12"/>
  <c r="S44" i="5"/>
  <c r="F44" i="12" s="1"/>
  <c r="AG44" i="5"/>
  <c r="R44" i="5"/>
  <c r="E44" i="12" s="1"/>
  <c r="V37" i="12"/>
  <c r="Y39" i="12"/>
  <c r="W39" i="12" s="1"/>
  <c r="T37" i="12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N39" i="12"/>
  <c r="AG42" i="6"/>
  <c r="AB42" i="6"/>
  <c r="AO42" i="6"/>
  <c r="AX42" i="6"/>
  <c r="AF42" i="6"/>
  <c r="AD42" i="6"/>
  <c r="AK42" i="6"/>
  <c r="B45" i="7"/>
  <c r="C46" i="7"/>
  <c r="X38" i="12"/>
  <c r="W38" i="12"/>
  <c r="C40" i="6"/>
  <c r="O40" i="5"/>
  <c r="E39" i="6"/>
  <c r="D39" i="12"/>
  <c r="AH42" i="6"/>
  <c r="BG42" i="6"/>
  <c r="BA42" i="6"/>
  <c r="BB42" i="6"/>
  <c r="G42" i="12"/>
  <c r="X42" i="5"/>
  <c r="AC42" i="6"/>
  <c r="AM42" i="6"/>
  <c r="BD42" i="6"/>
  <c r="BE42" i="6"/>
  <c r="AZ42" i="6"/>
  <c r="AQ42" i="6"/>
  <c r="AJ42" i="6"/>
  <c r="AI42" i="6"/>
  <c r="AT42" i="6"/>
  <c r="AE42" i="6"/>
  <c r="G43" i="6"/>
  <c r="H43" i="6"/>
  <c r="T43" i="5" s="1"/>
  <c r="G43" i="12" s="1"/>
  <c r="I41" i="12"/>
  <c r="L41" i="5"/>
  <c r="AM41" i="5"/>
  <c r="Z41" i="5"/>
  <c r="AC41" i="5"/>
  <c r="AB40" i="5"/>
  <c r="AA40" i="5"/>
  <c r="C40" i="12"/>
  <c r="AO40" i="12"/>
  <c r="O40" i="12"/>
  <c r="M40" i="12"/>
  <c r="AF45" i="5"/>
  <c r="L44" i="12" l="1"/>
  <c r="K44" i="12" s="1"/>
  <c r="AD45" i="5"/>
  <c r="F44" i="6"/>
  <c r="B45" i="6"/>
  <c r="H45" i="5"/>
  <c r="AE45" i="5"/>
  <c r="E45" i="5"/>
  <c r="N45" i="5"/>
  <c r="D45" i="6" s="1"/>
  <c r="F45" i="5"/>
  <c r="C46" i="5"/>
  <c r="W46" i="5" s="1"/>
  <c r="H46" i="12" s="1"/>
  <c r="W45" i="5"/>
  <c r="H45" i="12" s="1"/>
  <c r="B45" i="5"/>
  <c r="G45" i="5"/>
  <c r="AG45" i="5"/>
  <c r="R45" i="5"/>
  <c r="E45" i="12" s="1"/>
  <c r="S45" i="5"/>
  <c r="F45" i="12" s="1"/>
  <c r="X39" i="12"/>
  <c r="M43" i="6"/>
  <c r="AU43" i="6" s="1"/>
  <c r="N40" i="12"/>
  <c r="G44" i="6"/>
  <c r="H44" i="6"/>
  <c r="T44" i="5" s="1"/>
  <c r="AA41" i="5"/>
  <c r="AB41" i="5"/>
  <c r="C41" i="12"/>
  <c r="M41" i="12"/>
  <c r="AO41" i="12"/>
  <c r="O41" i="12"/>
  <c r="E40" i="6"/>
  <c r="D40" i="12"/>
  <c r="T38" i="12"/>
  <c r="V38" i="12"/>
  <c r="U38" i="12"/>
  <c r="V39" i="12"/>
  <c r="U39" i="12"/>
  <c r="T39" i="12"/>
  <c r="C47" i="7"/>
  <c r="B46" i="7"/>
  <c r="Y40" i="12"/>
  <c r="C41" i="6"/>
  <c r="O41" i="5"/>
  <c r="I42" i="12"/>
  <c r="L42" i="5"/>
  <c r="AM42" i="5"/>
  <c r="Z42" i="5"/>
  <c r="AC42" i="5"/>
  <c r="A44" i="6"/>
  <c r="AF46" i="5"/>
  <c r="F45" i="6" l="1"/>
  <c r="G46" i="5"/>
  <c r="N46" i="5"/>
  <c r="D46" i="6" s="1"/>
  <c r="B46" i="5"/>
  <c r="A46" i="12"/>
  <c r="AE46" i="5"/>
  <c r="AG46" i="5"/>
  <c r="S46" i="5"/>
  <c r="F46" i="12" s="1"/>
  <c r="R46" i="5"/>
  <c r="E46" i="12" s="1"/>
  <c r="E46" i="5"/>
  <c r="F46" i="5"/>
  <c r="B46" i="6"/>
  <c r="H46" i="5"/>
  <c r="C47" i="5"/>
  <c r="AE47" i="5" s="1"/>
  <c r="AD46" i="5"/>
  <c r="AD43" i="6"/>
  <c r="AG43" i="6"/>
  <c r="AF43" i="6"/>
  <c r="AC43" i="6"/>
  <c r="AH43" i="6"/>
  <c r="AP43" i="6"/>
  <c r="BE43" i="6"/>
  <c r="BF43" i="6"/>
  <c r="AN43" i="6"/>
  <c r="AM43" i="6"/>
  <c r="AK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AA42" i="5"/>
  <c r="AB42" i="5"/>
  <c r="C42" i="6"/>
  <c r="O42" i="5"/>
  <c r="D41" i="12"/>
  <c r="E41" i="6"/>
  <c r="X40" i="12"/>
  <c r="W40" i="12"/>
  <c r="C48" i="7"/>
  <c r="B47" i="7"/>
  <c r="G44" i="12"/>
  <c r="X44" i="5"/>
  <c r="H45" i="6"/>
  <c r="T45" i="5" s="1"/>
  <c r="G45" i="6"/>
  <c r="C42" i="12"/>
  <c r="O42" i="12"/>
  <c r="AO42" i="12"/>
  <c r="M42" i="12"/>
  <c r="A45" i="6"/>
  <c r="Y41" i="12"/>
  <c r="M44" i="6"/>
  <c r="AJ44" i="6" s="1"/>
  <c r="AF47" i="5"/>
  <c r="B47" i="5" l="1"/>
  <c r="C48" i="5"/>
  <c r="J48" i="5" s="1"/>
  <c r="E47" i="5"/>
  <c r="N47" i="5"/>
  <c r="D47" i="6" s="1"/>
  <c r="B47" i="6"/>
  <c r="AD47" i="5"/>
  <c r="D47" i="5"/>
  <c r="B47" i="12" s="1"/>
  <c r="A47" i="12"/>
  <c r="J47" i="12" s="1"/>
  <c r="K47" i="5"/>
  <c r="J47" i="5"/>
  <c r="W47" i="5"/>
  <c r="H47" i="12" s="1"/>
  <c r="G47" i="5"/>
  <c r="F47" i="5"/>
  <c r="F46" i="6"/>
  <c r="H47" i="5"/>
  <c r="R47" i="5"/>
  <c r="E47" i="12" s="1"/>
  <c r="S47" i="5"/>
  <c r="F47" i="12" s="1"/>
  <c r="AG47" i="5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AD44" i="6"/>
  <c r="AC44" i="6"/>
  <c r="AM44" i="5"/>
  <c r="I44" i="12"/>
  <c r="L44" i="5"/>
  <c r="Z44" i="5"/>
  <c r="AC44" i="5"/>
  <c r="G46" i="6"/>
  <c r="H46" i="6"/>
  <c r="T46" i="5" s="1"/>
  <c r="A46" i="6"/>
  <c r="B48" i="7"/>
  <c r="C49" i="7"/>
  <c r="AF44" i="6"/>
  <c r="AB44" i="6"/>
  <c r="AK44" i="6"/>
  <c r="Y42" i="12"/>
  <c r="M45" i="6"/>
  <c r="AD45" i="6" s="1"/>
  <c r="AI44" i="6"/>
  <c r="AH44" i="6"/>
  <c r="U40" i="12"/>
  <c r="V40" i="12"/>
  <c r="T40" i="12"/>
  <c r="E42" i="6"/>
  <c r="D42" i="12"/>
  <c r="AF48" i="5"/>
  <c r="AD48" i="5" l="1"/>
  <c r="B48" i="6"/>
  <c r="W48" i="5"/>
  <c r="H48" i="12" s="1"/>
  <c r="H48" i="5"/>
  <c r="L47" i="12"/>
  <c r="K47" i="12" s="1"/>
  <c r="B48" i="5"/>
  <c r="N48" i="5"/>
  <c r="D48" i="6" s="1"/>
  <c r="AE48" i="5"/>
  <c r="K48" i="5"/>
  <c r="A48" i="12"/>
  <c r="J48" i="12" s="1"/>
  <c r="D48" i="5"/>
  <c r="B48" i="12" s="1"/>
  <c r="C49" i="5"/>
  <c r="B49" i="6" s="1"/>
  <c r="F48" i="5"/>
  <c r="G48" i="5"/>
  <c r="E48" i="5"/>
  <c r="R48" i="5"/>
  <c r="E48" i="12" s="1"/>
  <c r="AG48" i="5"/>
  <c r="S48" i="5"/>
  <c r="F48" i="12" s="1"/>
  <c r="F47" i="6"/>
  <c r="AJ45" i="6"/>
  <c r="A47" i="6"/>
  <c r="AE45" i="6"/>
  <c r="AB45" i="6"/>
  <c r="AC45" i="6"/>
  <c r="X42" i="12"/>
  <c r="W42" i="12"/>
  <c r="B49" i="7"/>
  <c r="C50" i="7"/>
  <c r="M46" i="6"/>
  <c r="AG46" i="6" s="1"/>
  <c r="C44" i="6"/>
  <c r="O44" i="5"/>
  <c r="G47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AA44" i="5"/>
  <c r="AB44" i="5"/>
  <c r="C44" i="12"/>
  <c r="M44" i="12"/>
  <c r="O44" i="12"/>
  <c r="AO44" i="12"/>
  <c r="T41" i="12"/>
  <c r="V41" i="12"/>
  <c r="U41" i="12"/>
  <c r="AF49" i="5"/>
  <c r="F49" i="5" l="1"/>
  <c r="C50" i="5"/>
  <c r="D50" i="5" s="1"/>
  <c r="B50" i="12" s="1"/>
  <c r="D49" i="5"/>
  <c r="B49" i="12" s="1"/>
  <c r="H49" i="5"/>
  <c r="AE49" i="5"/>
  <c r="G49" i="5"/>
  <c r="A49" i="12"/>
  <c r="J49" i="12" s="1"/>
  <c r="W49" i="5"/>
  <c r="H49" i="12" s="1"/>
  <c r="L48" i="12"/>
  <c r="K48" i="12" s="1"/>
  <c r="E49" i="5"/>
  <c r="AD49" i="5"/>
  <c r="B49" i="5"/>
  <c r="J49" i="5"/>
  <c r="K49" i="5"/>
  <c r="AG49" i="5"/>
  <c r="R49" i="5"/>
  <c r="F49" i="6" s="1"/>
  <c r="S49" i="5"/>
  <c r="F49" i="12" s="1"/>
  <c r="N49" i="5"/>
  <c r="D49" i="6" s="1"/>
  <c r="F48" i="6"/>
  <c r="M47" i="6"/>
  <c r="BA47" i="6" s="1"/>
  <c r="N44" i="12"/>
  <c r="E44" i="6"/>
  <c r="D44" i="12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Y44" i="12"/>
  <c r="AB46" i="6"/>
  <c r="AC46" i="6"/>
  <c r="G47" i="12"/>
  <c r="X47" i="5"/>
  <c r="G48" i="6"/>
  <c r="H48" i="6"/>
  <c r="T48" i="5" s="1"/>
  <c r="A48" i="6"/>
  <c r="AF50" i="5"/>
  <c r="J50" i="5" l="1"/>
  <c r="B50" i="5"/>
  <c r="A50" i="12"/>
  <c r="J50" i="12" s="1"/>
  <c r="W50" i="5"/>
  <c r="H50" i="12" s="1"/>
  <c r="AE50" i="5"/>
  <c r="AD50" i="5"/>
  <c r="E50" i="5"/>
  <c r="B50" i="6"/>
  <c r="N50" i="5"/>
  <c r="D50" i="6" s="1"/>
  <c r="G50" i="5"/>
  <c r="L49" i="12"/>
  <c r="K49" i="12" s="1"/>
  <c r="C51" i="5"/>
  <c r="K51" i="5" s="1"/>
  <c r="F50" i="5"/>
  <c r="H50" i="5"/>
  <c r="K50" i="5"/>
  <c r="R50" i="5"/>
  <c r="E50" i="12" s="1"/>
  <c r="S50" i="5"/>
  <c r="F50" i="12" s="1"/>
  <c r="AG50" i="5"/>
  <c r="E49" i="12"/>
  <c r="AH47" i="6"/>
  <c r="BF47" i="6"/>
  <c r="BB47" i="6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G49" i="6"/>
  <c r="H49" i="6"/>
  <c r="T49" i="5" s="1"/>
  <c r="G48" i="12"/>
  <c r="X48" i="5"/>
  <c r="A49" i="6"/>
  <c r="M49" i="6" s="1"/>
  <c r="M48" i="6"/>
  <c r="AF48" i="6" s="1"/>
  <c r="I47" i="12"/>
  <c r="AM47" i="5"/>
  <c r="L47" i="5"/>
  <c r="Z47" i="5"/>
  <c r="AC47" i="5"/>
  <c r="W44" i="12"/>
  <c r="X44" i="12"/>
  <c r="C52" i="7"/>
  <c r="B51" i="7"/>
  <c r="AF51" i="5"/>
  <c r="L50" i="12" l="1"/>
  <c r="K50" i="12" s="1"/>
  <c r="B51" i="5"/>
  <c r="B51" i="6"/>
  <c r="H51" i="5"/>
  <c r="AE51" i="5"/>
  <c r="F50" i="6"/>
  <c r="E51" i="5"/>
  <c r="AD51" i="5"/>
  <c r="G51" i="5"/>
  <c r="C52" i="5"/>
  <c r="W52" i="5" s="1"/>
  <c r="H52" i="12" s="1"/>
  <c r="F51" i="5"/>
  <c r="W51" i="5"/>
  <c r="H51" i="12" s="1"/>
  <c r="A51" i="12"/>
  <c r="J51" i="12" s="1"/>
  <c r="D51" i="5"/>
  <c r="B51" i="12" s="1"/>
  <c r="N51" i="5"/>
  <c r="D51" i="6" s="1"/>
  <c r="J51" i="5"/>
  <c r="S51" i="5"/>
  <c r="F51" i="12" s="1"/>
  <c r="AG51" i="5"/>
  <c r="R51" i="5"/>
  <c r="E51" i="12" s="1"/>
  <c r="A50" i="6"/>
  <c r="M50" i="6" s="1"/>
  <c r="BD50" i="6" s="1"/>
  <c r="AC48" i="6"/>
  <c r="AH48" i="6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AB47" i="5"/>
  <c r="AA47" i="5"/>
  <c r="L48" i="5"/>
  <c r="I48" i="12"/>
  <c r="AM48" i="5"/>
  <c r="Z48" i="5"/>
  <c r="AC48" i="5"/>
  <c r="H50" i="6"/>
  <c r="T50" i="5" s="1"/>
  <c r="G50" i="6"/>
  <c r="C53" i="7"/>
  <c r="B52" i="7"/>
  <c r="V44" i="12"/>
  <c r="T44" i="12"/>
  <c r="U44" i="12"/>
  <c r="C47" i="6"/>
  <c r="O47" i="5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AG48" i="6"/>
  <c r="AD48" i="6"/>
  <c r="G49" i="12"/>
  <c r="X49" i="5"/>
  <c r="AF49" i="6"/>
  <c r="AC49" i="6"/>
  <c r="AH49" i="6"/>
  <c r="AF52" i="5"/>
  <c r="L51" i="12" l="1"/>
  <c r="K51" i="12" s="1"/>
  <c r="G52" i="5"/>
  <c r="J52" i="5"/>
  <c r="F52" i="5"/>
  <c r="AE52" i="5"/>
  <c r="A52" i="12"/>
  <c r="L52" i="12" s="1"/>
  <c r="AD52" i="5"/>
  <c r="D52" i="5"/>
  <c r="B52" i="12" s="1"/>
  <c r="B52" i="6"/>
  <c r="E52" i="5"/>
  <c r="H52" i="5"/>
  <c r="N52" i="5"/>
  <c r="D52" i="6" s="1"/>
  <c r="K52" i="5"/>
  <c r="B52" i="5"/>
  <c r="C53" i="5" s="1"/>
  <c r="R52" i="5"/>
  <c r="E52" i="12" s="1"/>
  <c r="AG52" i="5"/>
  <c r="S52" i="5"/>
  <c r="F52" i="12" s="1"/>
  <c r="F51" i="6"/>
  <c r="A51" i="6"/>
  <c r="M51" i="6" s="1"/>
  <c r="AY51" i="6" s="1"/>
  <c r="AN50" i="6"/>
  <c r="AJ50" i="6"/>
  <c r="AH50" i="6"/>
  <c r="AR50" i="6"/>
  <c r="BC50" i="6"/>
  <c r="BF50" i="6"/>
  <c r="AM50" i="6"/>
  <c r="BG50" i="6"/>
  <c r="BA50" i="6"/>
  <c r="AS50" i="6"/>
  <c r="AT50" i="6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G50" i="12"/>
  <c r="X50" i="5"/>
  <c r="AB48" i="5"/>
  <c r="AA48" i="5"/>
  <c r="C48" i="12"/>
  <c r="AO48" i="12"/>
  <c r="M48" i="12"/>
  <c r="O48" i="12"/>
  <c r="I49" i="12"/>
  <c r="AM49" i="5"/>
  <c r="L49" i="5"/>
  <c r="Z49" i="5"/>
  <c r="AC49" i="5"/>
  <c r="H51" i="6"/>
  <c r="T51" i="5" s="1"/>
  <c r="G51" i="6"/>
  <c r="Y47" i="12"/>
  <c r="E47" i="6"/>
  <c r="D47" i="12"/>
  <c r="C54" i="7"/>
  <c r="B53" i="7"/>
  <c r="AB50" i="6"/>
  <c r="AK50" i="6"/>
  <c r="AD50" i="6"/>
  <c r="AE50" i="6"/>
  <c r="AF50" i="6"/>
  <c r="C48" i="6"/>
  <c r="O48" i="5"/>
  <c r="AF53" i="5"/>
  <c r="J52" i="12" l="1"/>
  <c r="K52" i="12" s="1"/>
  <c r="E53" i="5"/>
  <c r="AE53" i="5"/>
  <c r="A53" i="12"/>
  <c r="F53" i="5"/>
  <c r="H53" i="5"/>
  <c r="AD53" i="5"/>
  <c r="N53" i="5"/>
  <c r="D53" i="6" s="1"/>
  <c r="G53" i="5"/>
  <c r="W53" i="5"/>
  <c r="H53" i="12" s="1"/>
  <c r="S53" i="5"/>
  <c r="F53" i="12" s="1"/>
  <c r="AG53" i="5"/>
  <c r="F52" i="6"/>
  <c r="B53" i="5"/>
  <c r="R53" i="5"/>
  <c r="F53" i="6" s="1"/>
  <c r="C54" i="5"/>
  <c r="C55" i="5" s="1"/>
  <c r="B53" i="6"/>
  <c r="BA51" i="6"/>
  <c r="AZ51" i="6"/>
  <c r="AF51" i="6"/>
  <c r="AU51" i="6"/>
  <c r="AS51" i="6"/>
  <c r="AQ51" i="6"/>
  <c r="N48" i="12"/>
  <c r="AP51" i="6"/>
  <c r="BG51" i="6"/>
  <c r="AV51" i="6"/>
  <c r="AO51" i="6"/>
  <c r="BC51" i="6"/>
  <c r="BE51" i="6"/>
  <c r="BB51" i="6"/>
  <c r="BF51" i="6"/>
  <c r="BD51" i="6"/>
  <c r="AC51" i="6"/>
  <c r="AM51" i="6"/>
  <c r="AT51" i="6"/>
  <c r="AR51" i="6"/>
  <c r="AH51" i="6"/>
  <c r="AX51" i="6"/>
  <c r="AN51" i="6"/>
  <c r="G52" i="6"/>
  <c r="H52" i="6"/>
  <c r="T52" i="5" s="1"/>
  <c r="W47" i="12"/>
  <c r="X47" i="12"/>
  <c r="G51" i="12"/>
  <c r="X51" i="5"/>
  <c r="C49" i="6"/>
  <c r="O49" i="5"/>
  <c r="C49" i="12"/>
  <c r="M49" i="12"/>
  <c r="AO49" i="12"/>
  <c r="O49" i="12"/>
  <c r="Y48" i="12"/>
  <c r="L50" i="5"/>
  <c r="I50" i="12"/>
  <c r="AM50" i="5"/>
  <c r="Z50" i="5"/>
  <c r="AC50" i="5"/>
  <c r="D48" i="12"/>
  <c r="E48" i="6"/>
  <c r="C55" i="7"/>
  <c r="B54" i="7"/>
  <c r="AD51" i="6"/>
  <c r="AB51" i="6"/>
  <c r="AK51" i="6"/>
  <c r="AI51" i="6"/>
  <c r="AE51" i="6"/>
  <c r="AJ51" i="6"/>
  <c r="AG51" i="6"/>
  <c r="AB49" i="5"/>
  <c r="AA49" i="5"/>
  <c r="A52" i="6"/>
  <c r="M52" i="6" s="1"/>
  <c r="AF54" i="5"/>
  <c r="AF55" i="5"/>
  <c r="W54" i="5" l="1"/>
  <c r="H54" i="12" s="1"/>
  <c r="K54" i="5"/>
  <c r="A54" i="12"/>
  <c r="J54" i="12" s="1"/>
  <c r="F54" i="5"/>
  <c r="F55" i="5" s="1"/>
  <c r="E53" i="12"/>
  <c r="E54" i="5"/>
  <c r="E55" i="5" s="1"/>
  <c r="AE54" i="5"/>
  <c r="H54" i="5"/>
  <c r="H55" i="5" s="1"/>
  <c r="B54" i="6"/>
  <c r="J54" i="5"/>
  <c r="G54" i="5"/>
  <c r="G55" i="5" s="1"/>
  <c r="D54" i="5"/>
  <c r="B54" i="12" s="1"/>
  <c r="N54" i="5"/>
  <c r="D54" i="6" s="1"/>
  <c r="AD54" i="5"/>
  <c r="B54" i="5"/>
  <c r="B55" i="5" s="1"/>
  <c r="AG54" i="5"/>
  <c r="S54" i="5"/>
  <c r="F54" i="12" s="1"/>
  <c r="R54" i="5"/>
  <c r="E54" i="12" s="1"/>
  <c r="A53" i="6"/>
  <c r="N49" i="12"/>
  <c r="S55" i="5"/>
  <c r="F55" i="12" s="1"/>
  <c r="AG55" i="5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R55" i="5"/>
  <c r="AE55" i="5"/>
  <c r="A55" i="12"/>
  <c r="W55" i="5"/>
  <c r="H55" i="12" s="1"/>
  <c r="K55" i="5"/>
  <c r="N55" i="5"/>
  <c r="D55" i="5"/>
  <c r="B55" i="12" s="1"/>
  <c r="J55" i="5"/>
  <c r="B55" i="6"/>
  <c r="G53" i="6"/>
  <c r="H53" i="6"/>
  <c r="T53" i="5" s="1"/>
  <c r="G53" i="12" s="1"/>
  <c r="AA50" i="5"/>
  <c r="AB50" i="5"/>
  <c r="C50" i="12"/>
  <c r="O50" i="12"/>
  <c r="M50" i="12"/>
  <c r="AO50" i="12"/>
  <c r="W48" i="12"/>
  <c r="X48" i="12"/>
  <c r="V47" i="12"/>
  <c r="U47" i="12"/>
  <c r="T47" i="12"/>
  <c r="B55" i="7"/>
  <c r="C56" i="7"/>
  <c r="C50" i="6"/>
  <c r="O50" i="5"/>
  <c r="E49" i="6"/>
  <c r="D49" i="12"/>
  <c r="AM51" i="5"/>
  <c r="L51" i="5"/>
  <c r="I51" i="12"/>
  <c r="Z51" i="5"/>
  <c r="AC51" i="5"/>
  <c r="G52" i="12"/>
  <c r="X52" i="5"/>
  <c r="AC52" i="6"/>
  <c r="AJ52" i="6"/>
  <c r="AF56" i="5"/>
  <c r="L54" i="12" l="1"/>
  <c r="K54" i="12" s="1"/>
  <c r="F54" i="6"/>
  <c r="M53" i="6"/>
  <c r="AX53" i="6" s="1"/>
  <c r="W49" i="12"/>
  <c r="U49" i="12" s="1"/>
  <c r="Y50" i="12"/>
  <c r="X50" i="12" s="1"/>
  <c r="AG56" i="5"/>
  <c r="S56" i="5"/>
  <c r="F56" i="12" s="1"/>
  <c r="N50" i="12"/>
  <c r="AB51" i="5"/>
  <c r="AA51" i="5"/>
  <c r="C51" i="12"/>
  <c r="M51" i="12"/>
  <c r="O51" i="12"/>
  <c r="AO51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R56" i="5"/>
  <c r="B56" i="5"/>
  <c r="I52" i="12"/>
  <c r="L52" i="5"/>
  <c r="AM52" i="5"/>
  <c r="Z52" i="5"/>
  <c r="AC52" i="5"/>
  <c r="C51" i="6"/>
  <c r="O51" i="5"/>
  <c r="E50" i="6"/>
  <c r="D50" i="12"/>
  <c r="C57" i="7"/>
  <c r="B56" i="7"/>
  <c r="G54" i="6"/>
  <c r="H54" i="6"/>
  <c r="T54" i="5" s="1"/>
  <c r="V48" i="12"/>
  <c r="T48" i="12"/>
  <c r="U48" i="12"/>
  <c r="D55" i="6"/>
  <c r="F55" i="6"/>
  <c r="E55" i="12"/>
  <c r="A54" i="6"/>
  <c r="AF57" i="5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AG57" i="5"/>
  <c r="S57" i="5"/>
  <c r="F57" i="12" s="1"/>
  <c r="Y51" i="12"/>
  <c r="W51" i="12" s="1"/>
  <c r="K55" i="12"/>
  <c r="H55" i="6"/>
  <c r="T55" i="5" s="1"/>
  <c r="G55" i="6"/>
  <c r="G54" i="12"/>
  <c r="X54" i="5"/>
  <c r="M54" i="6"/>
  <c r="AH54" i="6" s="1"/>
  <c r="B57" i="7"/>
  <c r="C58" i="7"/>
  <c r="C52" i="12"/>
  <c r="AO52" i="12"/>
  <c r="M52" i="12"/>
  <c r="O52" i="12"/>
  <c r="J56" i="12"/>
  <c r="L56" i="12"/>
  <c r="D56" i="6"/>
  <c r="A55" i="6"/>
  <c r="D51" i="12"/>
  <c r="E51" i="6"/>
  <c r="AA52" i="5"/>
  <c r="AB52" i="5"/>
  <c r="C52" i="6"/>
  <c r="O52" i="5"/>
  <c r="F56" i="6"/>
  <c r="E56" i="12"/>
  <c r="R57" i="5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N51" i="12"/>
  <c r="AF58" i="5"/>
  <c r="V50" i="12" l="1"/>
  <c r="T50" i="12"/>
  <c r="X51" i="12"/>
  <c r="AG58" i="5"/>
  <c r="S58" i="5"/>
  <c r="F58" i="12" s="1"/>
  <c r="AG54" i="6"/>
  <c r="A56" i="6"/>
  <c r="M56" i="6" s="1"/>
  <c r="K56" i="12"/>
  <c r="N52" i="12"/>
  <c r="AE54" i="6"/>
  <c r="D57" i="6"/>
  <c r="E57" i="12"/>
  <c r="F57" i="6"/>
  <c r="H56" i="6"/>
  <c r="T56" i="5" s="1"/>
  <c r="G56" i="6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AC54" i="5"/>
  <c r="G55" i="12"/>
  <c r="X55" i="5"/>
  <c r="B58" i="5"/>
  <c r="W58" i="5"/>
  <c r="H58" i="12" s="1"/>
  <c r="J58" i="5"/>
  <c r="R58" i="5"/>
  <c r="F58" i="5"/>
  <c r="AD58" i="5"/>
  <c r="C59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E52" i="6"/>
  <c r="D52" i="12"/>
  <c r="AB54" i="6"/>
  <c r="AD54" i="6"/>
  <c r="AJ54" i="6"/>
  <c r="AC54" i="6"/>
  <c r="U51" i="12"/>
  <c r="T51" i="12"/>
  <c r="V51" i="12"/>
  <c r="AI54" i="6"/>
  <c r="AK54" i="6"/>
  <c r="M55" i="6"/>
  <c r="AH55" i="6" s="1"/>
  <c r="AF59" i="5"/>
  <c r="A57" i="6" l="1"/>
  <c r="M57" i="6" s="1"/>
  <c r="AM57" i="6" s="1"/>
  <c r="AG59" i="5"/>
  <c r="S59" i="5"/>
  <c r="F59" i="12" s="1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R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C54" i="6"/>
  <c r="O54" i="5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E58" i="12"/>
  <c r="F58" i="6"/>
  <c r="AM55" i="5"/>
  <c r="I55" i="12"/>
  <c r="L55" i="5"/>
  <c r="Z55" i="5"/>
  <c r="AC55" i="5"/>
  <c r="AA54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G57" i="6"/>
  <c r="AF60" i="5"/>
  <c r="AR57" i="6" l="1"/>
  <c r="AO57" i="6"/>
  <c r="AE57" i="6"/>
  <c r="AG60" i="5"/>
  <c r="S60" i="5"/>
  <c r="F60" i="12" s="1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L56" i="5"/>
  <c r="I56" i="12"/>
  <c r="AM56" i="5"/>
  <c r="Z56" i="5"/>
  <c r="AC56" i="5"/>
  <c r="C55" i="12"/>
  <c r="AO55" i="12"/>
  <c r="M55" i="12"/>
  <c r="O55" i="12"/>
  <c r="T52" i="12"/>
  <c r="U52" i="12"/>
  <c r="V52" i="12"/>
  <c r="C61" i="7"/>
  <c r="B60" i="7"/>
  <c r="D54" i="12"/>
  <c r="E54" i="6"/>
  <c r="F59" i="6"/>
  <c r="E59" i="12"/>
  <c r="J59" i="12"/>
  <c r="L59" i="12"/>
  <c r="AH57" i="6"/>
  <c r="AD57" i="6"/>
  <c r="BC57" i="6"/>
  <c r="AZ57" i="6"/>
  <c r="BG57" i="6"/>
  <c r="AS57" i="6"/>
  <c r="G57" i="12"/>
  <c r="X57" i="5"/>
  <c r="N54" i="12"/>
  <c r="AA55" i="5"/>
  <c r="AB55" i="5"/>
  <c r="C55" i="6"/>
  <c r="O55" i="5"/>
  <c r="G58" i="6"/>
  <c r="H58" i="6"/>
  <c r="T58" i="5" s="1"/>
  <c r="K58" i="12"/>
  <c r="C61" i="5"/>
  <c r="AE60" i="5"/>
  <c r="N60" i="5"/>
  <c r="B60" i="5"/>
  <c r="B60" i="6"/>
  <c r="J60" i="5"/>
  <c r="K60" i="5"/>
  <c r="A60" i="12"/>
  <c r="W60" i="5"/>
  <c r="H60" i="12" s="1"/>
  <c r="R60" i="5"/>
  <c r="AD60" i="5"/>
  <c r="F60" i="5"/>
  <c r="E60" i="5"/>
  <c r="D60" i="5"/>
  <c r="B60" i="12" s="1"/>
  <c r="G60" i="5"/>
  <c r="H60" i="5"/>
  <c r="D59" i="6"/>
  <c r="A58" i="6"/>
  <c r="AF61" i="5"/>
  <c r="W54" i="12" l="1"/>
  <c r="V54" i="12" s="1"/>
  <c r="AG61" i="5"/>
  <c r="S61" i="5"/>
  <c r="F61" i="12" s="1"/>
  <c r="N55" i="12"/>
  <c r="E60" i="12"/>
  <c r="F60" i="6"/>
  <c r="L60" i="12"/>
  <c r="J60" i="12"/>
  <c r="M58" i="6"/>
  <c r="AM57" i="5"/>
  <c r="I57" i="12"/>
  <c r="L57" i="5"/>
  <c r="Z57" i="5"/>
  <c r="AC57" i="5"/>
  <c r="C62" i="7"/>
  <c r="B61" i="7"/>
  <c r="Y55" i="12"/>
  <c r="AB56" i="5"/>
  <c r="AA56" i="5"/>
  <c r="C56" i="12"/>
  <c r="M56" i="12"/>
  <c r="O56" i="12"/>
  <c r="AO56" i="12"/>
  <c r="G59" i="6"/>
  <c r="H59" i="6"/>
  <c r="T59" i="5" s="1"/>
  <c r="A59" i="6"/>
  <c r="M59" i="6" s="1"/>
  <c r="D60" i="6"/>
  <c r="D61" i="5"/>
  <c r="B61" i="12" s="1"/>
  <c r="AD61" i="5"/>
  <c r="R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X58" i="5"/>
  <c r="E55" i="6"/>
  <c r="D55" i="12"/>
  <c r="K59" i="12"/>
  <c r="C56" i="6"/>
  <c r="O56" i="5"/>
  <c r="AF62" i="5"/>
  <c r="T54" i="12" l="1"/>
  <c r="U54" i="12"/>
  <c r="Y56" i="12"/>
  <c r="X56" i="12" s="1"/>
  <c r="S62" i="5"/>
  <c r="F62" i="12" s="1"/>
  <c r="AG62" i="5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D56" i="12"/>
  <c r="E56" i="6"/>
  <c r="L58" i="5"/>
  <c r="I58" i="12"/>
  <c r="AM58" i="5"/>
  <c r="Z58" i="5"/>
  <c r="AC58" i="5"/>
  <c r="A62" i="12"/>
  <c r="R62" i="5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G60" i="6"/>
  <c r="A60" i="6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F61" i="6"/>
  <c r="E61" i="12"/>
  <c r="AK59" i="6"/>
  <c r="AD59" i="6"/>
  <c r="AF59" i="6"/>
  <c r="AJ59" i="6"/>
  <c r="AI59" i="6"/>
  <c r="AG59" i="6"/>
  <c r="N56" i="12"/>
  <c r="W55" i="12"/>
  <c r="X55" i="12"/>
  <c r="C63" i="7"/>
  <c r="B62" i="7"/>
  <c r="AA57" i="5"/>
  <c r="AB57" i="5"/>
  <c r="C57" i="6"/>
  <c r="O57" i="5"/>
  <c r="K60" i="12"/>
  <c r="AF63" i="5"/>
  <c r="W56" i="12" l="1"/>
  <c r="U56" i="12" s="1"/>
  <c r="AG63" i="5"/>
  <c r="S63" i="5"/>
  <c r="F63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G61" i="6"/>
  <c r="D62" i="6"/>
  <c r="L62" i="12"/>
  <c r="J62" i="12"/>
  <c r="AA58" i="5"/>
  <c r="AB58" i="5"/>
  <c r="C58" i="6"/>
  <c r="O58" i="5"/>
  <c r="E57" i="6"/>
  <c r="D57" i="12"/>
  <c r="A61" i="6"/>
  <c r="M61" i="6" s="1"/>
  <c r="N57" i="12"/>
  <c r="I59" i="12"/>
  <c r="AM59" i="5"/>
  <c r="L59" i="5"/>
  <c r="Z59" i="5"/>
  <c r="AC59" i="5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R63" i="5"/>
  <c r="K63" i="5"/>
  <c r="C64" i="5"/>
  <c r="G63" i="5"/>
  <c r="D63" i="5"/>
  <c r="B63" i="12" s="1"/>
  <c r="AD63" i="5"/>
  <c r="AE63" i="5"/>
  <c r="E62" i="12"/>
  <c r="F62" i="6"/>
  <c r="C58" i="12"/>
  <c r="AO58" i="12"/>
  <c r="M58" i="12"/>
  <c r="O58" i="12"/>
  <c r="AF64" i="5"/>
  <c r="V56" i="12" l="1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G64" i="5"/>
  <c r="S64" i="5"/>
  <c r="F64" i="12" s="1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C60" i="5"/>
  <c r="A62" i="6"/>
  <c r="G62" i="6"/>
  <c r="H62" i="6"/>
  <c r="T62" i="5" s="1"/>
  <c r="V57" i="12"/>
  <c r="U57" i="12"/>
  <c r="T57" i="12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R64" i="5"/>
  <c r="K64" i="5"/>
  <c r="B64" i="6"/>
  <c r="H64" i="5"/>
  <c r="G64" i="5"/>
  <c r="AD64" i="5"/>
  <c r="F63" i="6"/>
  <c r="E63" i="12"/>
  <c r="J63" i="12"/>
  <c r="L63" i="12"/>
  <c r="AB59" i="5"/>
  <c r="AA59" i="5"/>
  <c r="C59" i="6"/>
  <c r="O59" i="5"/>
  <c r="C59" i="12"/>
  <c r="M59" i="12"/>
  <c r="O59" i="12"/>
  <c r="AO59" i="12"/>
  <c r="E58" i="6"/>
  <c r="D58" i="12"/>
  <c r="K62" i="12"/>
  <c r="AE61" i="6"/>
  <c r="AB61" i="6"/>
  <c r="AK61" i="6"/>
  <c r="AH61" i="6"/>
  <c r="AF65" i="5"/>
  <c r="M62" i="6" l="1"/>
  <c r="AZ62" i="6" s="1"/>
  <c r="S65" i="5"/>
  <c r="F65" i="12" s="1"/>
  <c r="AG65" i="5"/>
  <c r="N59" i="12"/>
  <c r="A63" i="6"/>
  <c r="K63" i="12"/>
  <c r="E64" i="12"/>
  <c r="F64" i="6"/>
  <c r="H65" i="5"/>
  <c r="AD65" i="5"/>
  <c r="J65" i="5"/>
  <c r="F65" i="5"/>
  <c r="D65" i="5"/>
  <c r="B65" i="12" s="1"/>
  <c r="B65" i="5"/>
  <c r="N65" i="5"/>
  <c r="R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A60" i="5"/>
  <c r="AB60" i="5"/>
  <c r="C60" i="12"/>
  <c r="AO60" i="12"/>
  <c r="M60" i="12"/>
  <c r="O60" i="12"/>
  <c r="H63" i="6"/>
  <c r="T63" i="5" s="1"/>
  <c r="G63" i="6"/>
  <c r="Y59" i="12"/>
  <c r="D59" i="12"/>
  <c r="E59" i="6"/>
  <c r="X58" i="12"/>
  <c r="W58" i="12"/>
  <c r="I61" i="12"/>
  <c r="AM61" i="5"/>
  <c r="L61" i="5"/>
  <c r="Z61" i="5"/>
  <c r="AC61" i="5"/>
  <c r="C60" i="6"/>
  <c r="O60" i="5"/>
  <c r="AF66" i="5"/>
  <c r="AH62" i="6" l="1"/>
  <c r="AR62" i="6"/>
  <c r="R66" i="5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G66" i="5"/>
  <c r="S66" i="5"/>
  <c r="F66" i="12" s="1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AC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D60" i="12"/>
  <c r="E60" i="6"/>
  <c r="C61" i="6"/>
  <c r="O61" i="5"/>
  <c r="C61" i="12"/>
  <c r="O61" i="12"/>
  <c r="AO61" i="12"/>
  <c r="M61" i="12"/>
  <c r="N60" i="12"/>
  <c r="Y60" i="12"/>
  <c r="G64" i="6"/>
  <c r="H64" i="6"/>
  <c r="T64" i="5" s="1"/>
  <c r="L65" i="12"/>
  <c r="J65" i="12"/>
  <c r="E65" i="12"/>
  <c r="F65" i="6"/>
  <c r="A64" i="6"/>
  <c r="M64" i="6" s="1"/>
  <c r="AF67" i="5"/>
  <c r="BA63" i="6" l="1"/>
  <c r="BF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G67" i="5"/>
  <c r="S67" i="5"/>
  <c r="F67" i="12" s="1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E61" i="6"/>
  <c r="D61" i="12"/>
  <c r="H65" i="6"/>
  <c r="T65" i="5" s="1"/>
  <c r="G65" i="6"/>
  <c r="A65" i="6"/>
  <c r="J67" i="5"/>
  <c r="W67" i="5"/>
  <c r="H67" i="12" s="1"/>
  <c r="D67" i="5"/>
  <c r="B67" i="12" s="1"/>
  <c r="G67" i="5"/>
  <c r="H67" i="5"/>
  <c r="E67" i="5"/>
  <c r="N67" i="5"/>
  <c r="R67" i="5"/>
  <c r="B67" i="5"/>
  <c r="AD67" i="5"/>
  <c r="C68" i="5"/>
  <c r="AE67" i="5"/>
  <c r="A67" i="12"/>
  <c r="K67" i="5"/>
  <c r="F67" i="5"/>
  <c r="B67" i="6"/>
  <c r="E66" i="12"/>
  <c r="F66" i="6"/>
  <c r="AB62" i="5"/>
  <c r="AA62" i="5"/>
  <c r="C62" i="6"/>
  <c r="O62" i="5"/>
  <c r="V59" i="12"/>
  <c r="T59" i="12"/>
  <c r="U59" i="12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C63" i="5"/>
  <c r="AF68" i="5"/>
  <c r="A66" i="6" l="1"/>
  <c r="M66" i="6" s="1"/>
  <c r="AZ66" i="6" s="1"/>
  <c r="AG68" i="5"/>
  <c r="S68" i="5"/>
  <c r="F68" i="12" s="1"/>
  <c r="Y62" i="12"/>
  <c r="W62" i="12" s="1"/>
  <c r="M65" i="6"/>
  <c r="AD65" i="6" s="1"/>
  <c r="C63" i="6"/>
  <c r="O63" i="5"/>
  <c r="G66" i="6"/>
  <c r="H66" i="6"/>
  <c r="T66" i="5" s="1"/>
  <c r="G66" i="12" s="1"/>
  <c r="D62" i="12"/>
  <c r="E62" i="6"/>
  <c r="L67" i="12"/>
  <c r="J67" i="12"/>
  <c r="R68" i="5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F67" i="6"/>
  <c r="E67" i="12"/>
  <c r="I64" i="12"/>
  <c r="AM64" i="5"/>
  <c r="L64" i="5"/>
  <c r="Z64" i="5"/>
  <c r="AC64" i="5"/>
  <c r="AF69" i="5"/>
  <c r="X62" i="12" l="1"/>
  <c r="BA66" i="6"/>
  <c r="BB66" i="6"/>
  <c r="AT66" i="6"/>
  <c r="AD66" i="6"/>
  <c r="BC66" i="6"/>
  <c r="AS66" i="6"/>
  <c r="AM66" i="6"/>
  <c r="AN66" i="6"/>
  <c r="AR66" i="6"/>
  <c r="AP66" i="6"/>
  <c r="AO66" i="6"/>
  <c r="Y63" i="12"/>
  <c r="W63" i="12" s="1"/>
  <c r="AY66" i="6"/>
  <c r="AQ66" i="6"/>
  <c r="BE66" i="6"/>
  <c r="BF66" i="6"/>
  <c r="BD66" i="6"/>
  <c r="AX66" i="6"/>
  <c r="AU66" i="6"/>
  <c r="BG66" i="6"/>
  <c r="AV66" i="6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AG69" i="5"/>
  <c r="S69" i="5"/>
  <c r="F69" i="12" s="1"/>
  <c r="N63" i="12"/>
  <c r="AP65" i="6"/>
  <c r="AF65" i="6"/>
  <c r="AM65" i="6"/>
  <c r="AG65" i="6"/>
  <c r="V61" i="12"/>
  <c r="U61" i="12"/>
  <c r="T61" i="12"/>
  <c r="H67" i="6"/>
  <c r="T67" i="5" s="1"/>
  <c r="G67" i="6"/>
  <c r="J68" i="12"/>
  <c r="L68" i="12"/>
  <c r="K67" i="12"/>
  <c r="AC66" i="6"/>
  <c r="AI66" i="6"/>
  <c r="AF66" i="6"/>
  <c r="AH66" i="6"/>
  <c r="AE66" i="6"/>
  <c r="AB66" i="6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AC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R69" i="5"/>
  <c r="E69" i="5"/>
  <c r="F68" i="6"/>
  <c r="E68" i="12"/>
  <c r="A67" i="6"/>
  <c r="M67" i="6" s="1"/>
  <c r="AK66" i="6"/>
  <c r="AJ66" i="6"/>
  <c r="AG66" i="6"/>
  <c r="AF70" i="5"/>
  <c r="X63" i="12" l="1"/>
  <c r="K68" i="12"/>
  <c r="AG70" i="5"/>
  <c r="S70" i="5"/>
  <c r="F70" i="12" s="1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E69" i="12"/>
  <c r="F69" i="6"/>
  <c r="D69" i="6"/>
  <c r="H68" i="6"/>
  <c r="T68" i="5" s="1"/>
  <c r="G68" i="6"/>
  <c r="AA65" i="5"/>
  <c r="AB65" i="5"/>
  <c r="C65" i="6"/>
  <c r="O65" i="5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R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D64" i="12"/>
  <c r="E64" i="6"/>
  <c r="AI67" i="6"/>
  <c r="AD67" i="6"/>
  <c r="AC67" i="6"/>
  <c r="AJ67" i="6"/>
  <c r="AK67" i="6"/>
  <c r="AF71" i="5"/>
  <c r="N65" i="12" l="1"/>
  <c r="AG71" i="5"/>
  <c r="S71" i="5"/>
  <c r="F71" i="12" s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R71" i="5"/>
  <c r="C72" i="5"/>
  <c r="AE71" i="5"/>
  <c r="B71" i="5"/>
  <c r="D71" i="5"/>
  <c r="B71" i="12" s="1"/>
  <c r="N71" i="5"/>
  <c r="K71" i="5"/>
  <c r="E70" i="12"/>
  <c r="F70" i="6"/>
  <c r="G68" i="12"/>
  <c r="X68" i="5"/>
  <c r="W64" i="12"/>
  <c r="X64" i="12"/>
  <c r="Y65" i="12"/>
  <c r="D70" i="6"/>
  <c r="A69" i="6"/>
  <c r="L67" i="5"/>
  <c r="AM67" i="5"/>
  <c r="I67" i="12"/>
  <c r="Z67" i="5"/>
  <c r="AC67" i="5"/>
  <c r="D65" i="12"/>
  <c r="E65" i="6"/>
  <c r="AH68" i="6"/>
  <c r="AB68" i="6"/>
  <c r="AD68" i="6"/>
  <c r="AJ68" i="6"/>
  <c r="AI68" i="6"/>
  <c r="G69" i="6"/>
  <c r="H69" i="6"/>
  <c r="T69" i="5" s="1"/>
  <c r="AF72" i="5"/>
  <c r="AG72" i="5" l="1"/>
  <c r="S72" i="5"/>
  <c r="F72" i="12" s="1"/>
  <c r="A70" i="6"/>
  <c r="M70" i="6" s="1"/>
  <c r="BE70" i="6" s="1"/>
  <c r="G69" i="12"/>
  <c r="X69" i="5"/>
  <c r="AA67" i="5"/>
  <c r="AB67" i="5"/>
  <c r="L68" i="5"/>
  <c r="I68" i="12"/>
  <c r="AM68" i="5"/>
  <c r="Z68" i="5"/>
  <c r="AC68" i="5"/>
  <c r="D71" i="6"/>
  <c r="E71" i="12"/>
  <c r="F71" i="6"/>
  <c r="L71" i="12"/>
  <c r="J71" i="12"/>
  <c r="K70" i="12"/>
  <c r="M69" i="6"/>
  <c r="C67" i="12"/>
  <c r="O67" i="12"/>
  <c r="M67" i="12"/>
  <c r="AO67" i="12"/>
  <c r="C67" i="6"/>
  <c r="O67" i="5"/>
  <c r="H70" i="6"/>
  <c r="T70" i="5" s="1"/>
  <c r="G70" i="6"/>
  <c r="W65" i="12"/>
  <c r="X65" i="12"/>
  <c r="V64" i="12"/>
  <c r="T64" i="12"/>
  <c r="U64" i="12"/>
  <c r="F72" i="5"/>
  <c r="G72" i="5"/>
  <c r="R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AF73" i="5"/>
  <c r="Y67" i="12" l="1"/>
  <c r="X67" i="12" s="1"/>
  <c r="A71" i="6"/>
  <c r="M71" i="6" s="1"/>
  <c r="AV71" i="6" s="1"/>
  <c r="N67" i="12"/>
  <c r="AG73" i="5"/>
  <c r="S73" i="5"/>
  <c r="F73" i="12" s="1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R73" i="5"/>
  <c r="G73" i="5"/>
  <c r="N73" i="5"/>
  <c r="F73" i="5"/>
  <c r="K73" i="5"/>
  <c r="L72" i="12"/>
  <c r="J72" i="12"/>
  <c r="F72" i="6"/>
  <c r="E72" i="12"/>
  <c r="E67" i="6"/>
  <c r="D67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G71" i="6"/>
  <c r="AB68" i="5"/>
  <c r="AA68" i="5"/>
  <c r="C68" i="6"/>
  <c r="O68" i="5"/>
  <c r="AG69" i="6"/>
  <c r="AM69" i="5"/>
  <c r="I69" i="12"/>
  <c r="L69" i="5"/>
  <c r="Z69" i="5"/>
  <c r="AC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F74" i="5"/>
  <c r="A72" i="6" l="1"/>
  <c r="M72" i="6" s="1"/>
  <c r="BA72" i="6" s="1"/>
  <c r="W67" i="12"/>
  <c r="V67" i="12" s="1"/>
  <c r="R74" i="5"/>
  <c r="AQ71" i="6"/>
  <c r="AP71" i="6"/>
  <c r="AC71" i="6"/>
  <c r="BF71" i="6"/>
  <c r="AG74" i="5"/>
  <c r="S74" i="5"/>
  <c r="F74" i="12" s="1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O69" i="5"/>
  <c r="E68" i="6"/>
  <c r="D68" i="12"/>
  <c r="J73" i="12"/>
  <c r="L73" i="12"/>
  <c r="N68" i="12"/>
  <c r="I70" i="12"/>
  <c r="L70" i="5"/>
  <c r="AM70" i="5"/>
  <c r="Z70" i="5"/>
  <c r="AC70" i="5"/>
  <c r="H72" i="6"/>
  <c r="T72" i="5" s="1"/>
  <c r="G72" i="6"/>
  <c r="AB69" i="5"/>
  <c r="AA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E73" i="12"/>
  <c r="F73" i="6"/>
  <c r="AF75" i="5"/>
  <c r="T67" i="12" l="1"/>
  <c r="A73" i="6"/>
  <c r="M73" i="6" s="1"/>
  <c r="BC73" i="6" s="1"/>
  <c r="U67" i="12"/>
  <c r="N69" i="12"/>
  <c r="K73" i="12"/>
  <c r="W68" i="12"/>
  <c r="U68" i="12" s="1"/>
  <c r="AG75" i="5"/>
  <c r="S75" i="5"/>
  <c r="F75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AA70" i="5"/>
  <c r="C70" i="6"/>
  <c r="O70" i="5"/>
  <c r="D69" i="12"/>
  <c r="E69" i="6"/>
  <c r="E74" i="12"/>
  <c r="F74" i="6"/>
  <c r="H73" i="6"/>
  <c r="T73" i="5" s="1"/>
  <c r="G73" i="6"/>
  <c r="I71" i="12"/>
  <c r="AM71" i="5"/>
  <c r="L71" i="5"/>
  <c r="Z71" i="5"/>
  <c r="AC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R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F76" i="5"/>
  <c r="A74" i="6" l="1"/>
  <c r="M74" i="6" s="1"/>
  <c r="AS74" i="6" s="1"/>
  <c r="T68" i="12"/>
  <c r="V68" i="12"/>
  <c r="AX73" i="6"/>
  <c r="BF73" i="6"/>
  <c r="S76" i="5"/>
  <c r="F76" i="12" s="1"/>
  <c r="AG76" i="5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R76" i="5"/>
  <c r="N76" i="5"/>
  <c r="A76" i="12"/>
  <c r="C77" i="5"/>
  <c r="E76" i="5"/>
  <c r="AE76" i="5"/>
  <c r="K76" i="5"/>
  <c r="AD76" i="5"/>
  <c r="F76" i="5"/>
  <c r="W76" i="5"/>
  <c r="H76" i="12" s="1"/>
  <c r="F75" i="6"/>
  <c r="E75" i="12"/>
  <c r="Y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L75" i="12"/>
  <c r="J75" i="12"/>
  <c r="D75" i="6"/>
  <c r="G74" i="6"/>
  <c r="H74" i="6"/>
  <c r="T74" i="5" s="1"/>
  <c r="G74" i="12" s="1"/>
  <c r="AM72" i="5"/>
  <c r="I72" i="12"/>
  <c r="L72" i="5"/>
  <c r="Z72" i="5"/>
  <c r="AC72" i="5"/>
  <c r="AB71" i="5"/>
  <c r="AA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AF77" i="5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G77" i="5"/>
  <c r="S77" i="5"/>
  <c r="F77" i="12" s="1"/>
  <c r="AK74" i="6"/>
  <c r="AJ74" i="6"/>
  <c r="AB72" i="5"/>
  <c r="AA72" i="5"/>
  <c r="C72" i="6"/>
  <c r="O72" i="5"/>
  <c r="I73" i="12"/>
  <c r="L73" i="5"/>
  <c r="AM73" i="5"/>
  <c r="Z73" i="5"/>
  <c r="AC73" i="5"/>
  <c r="D71" i="12"/>
  <c r="E71" i="6"/>
  <c r="V69" i="12"/>
  <c r="T69" i="12"/>
  <c r="U69" i="12"/>
  <c r="W70" i="12"/>
  <c r="X70" i="12"/>
  <c r="J76" i="12"/>
  <c r="L76" i="12"/>
  <c r="F76" i="6"/>
  <c r="E76" i="12"/>
  <c r="C72" i="12"/>
  <c r="O72" i="12"/>
  <c r="M72" i="12"/>
  <c r="AO72" i="12"/>
  <c r="AD74" i="6"/>
  <c r="AB74" i="6"/>
  <c r="AF74" i="6"/>
  <c r="AG74" i="6"/>
  <c r="H75" i="6"/>
  <c r="T75" i="5" s="1"/>
  <c r="G75" i="6"/>
  <c r="K75" i="12"/>
  <c r="Y71" i="12"/>
  <c r="A77" i="12"/>
  <c r="H77" i="5"/>
  <c r="J77" i="5"/>
  <c r="C78" i="5"/>
  <c r="K77" i="5"/>
  <c r="B77" i="5"/>
  <c r="N77" i="5"/>
  <c r="R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8" i="5"/>
  <c r="Y72" i="12" l="1"/>
  <c r="W72" i="12" s="1"/>
  <c r="AG78" i="5"/>
  <c r="S78" i="5"/>
  <c r="F78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G76" i="6"/>
  <c r="H76" i="6"/>
  <c r="T76" i="5" s="1"/>
  <c r="E77" i="12"/>
  <c r="F77" i="6"/>
  <c r="R78" i="5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A73" i="5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O73" i="5"/>
  <c r="D72" i="12"/>
  <c r="E72" i="6"/>
  <c r="AF79" i="5"/>
  <c r="X72" i="12" l="1"/>
  <c r="S79" i="5"/>
  <c r="F79" i="12" s="1"/>
  <c r="AG79" i="5"/>
  <c r="N73" i="12"/>
  <c r="A77" i="6"/>
  <c r="M77" i="6" s="1"/>
  <c r="D73" i="12"/>
  <c r="E73" i="6"/>
  <c r="K77" i="12"/>
  <c r="H77" i="6"/>
  <c r="T77" i="5" s="1"/>
  <c r="G77" i="6"/>
  <c r="Y73" i="12"/>
  <c r="V72" i="12"/>
  <c r="U72" i="12"/>
  <c r="T72" i="12"/>
  <c r="B79" i="6"/>
  <c r="E79" i="5"/>
  <c r="F79" i="5"/>
  <c r="D79" i="5"/>
  <c r="B79" i="12" s="1"/>
  <c r="J79" i="5"/>
  <c r="H79" i="5"/>
  <c r="N79" i="5"/>
  <c r="R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E78" i="12"/>
  <c r="F78" i="6"/>
  <c r="M76" i="6"/>
  <c r="AJ76" i="6" s="1"/>
  <c r="L75" i="5"/>
  <c r="I75" i="12"/>
  <c r="AM75" i="5"/>
  <c r="Z75" i="5"/>
  <c r="AC75" i="5"/>
  <c r="U71" i="12"/>
  <c r="T71" i="12"/>
  <c r="V71" i="12"/>
  <c r="G76" i="12"/>
  <c r="X76" i="5"/>
  <c r="AF80" i="5"/>
  <c r="S80" i="5" l="1"/>
  <c r="F80" i="12" s="1"/>
  <c r="AG80" i="5"/>
  <c r="AB76" i="6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R80" i="5"/>
  <c r="B80" i="6"/>
  <c r="K80" i="5"/>
  <c r="G80" i="5"/>
  <c r="F80" i="5"/>
  <c r="N80" i="5"/>
  <c r="C81" i="5"/>
  <c r="J80" i="5"/>
  <c r="B80" i="5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C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F81" i="5"/>
  <c r="AG81" i="5" l="1"/>
  <c r="S81" i="5"/>
  <c r="F81" i="12" s="1"/>
  <c r="AY78" i="6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C77" i="5"/>
  <c r="A79" i="6"/>
  <c r="M79" i="6" s="1"/>
  <c r="G78" i="12"/>
  <c r="X78" i="5"/>
  <c r="AC78" i="6"/>
  <c r="AI78" i="6"/>
  <c r="AJ78" i="6"/>
  <c r="E75" i="6"/>
  <c r="D75" i="12"/>
  <c r="AA76" i="5"/>
  <c r="AB76" i="5"/>
  <c r="C76" i="6"/>
  <c r="O76" i="5"/>
  <c r="A81" i="12"/>
  <c r="B81" i="6"/>
  <c r="E81" i="5"/>
  <c r="R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E80" i="12"/>
  <c r="F80" i="6"/>
  <c r="L80" i="12"/>
  <c r="J80" i="12"/>
  <c r="Y75" i="12"/>
  <c r="AF82" i="5"/>
  <c r="N76" i="12" l="1"/>
  <c r="S82" i="5"/>
  <c r="F82" i="12" s="1"/>
  <c r="AG82" i="5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R82" i="5"/>
  <c r="G82" i="5"/>
  <c r="AE82" i="5"/>
  <c r="E81" i="12"/>
  <c r="F81" i="6"/>
  <c r="D76" i="12"/>
  <c r="E76" i="6"/>
  <c r="C77" i="12"/>
  <c r="O77" i="12"/>
  <c r="AO77" i="12"/>
  <c r="M77" i="12"/>
  <c r="G79" i="12"/>
  <c r="X79" i="5"/>
  <c r="AE79" i="6"/>
  <c r="AH79" i="6"/>
  <c r="AD79" i="6"/>
  <c r="K80" i="12"/>
  <c r="J81" i="12"/>
  <c r="L81" i="12"/>
  <c r="L78" i="5"/>
  <c r="AM78" i="5"/>
  <c r="I78" i="12"/>
  <c r="Z78" i="5"/>
  <c r="AC78" i="5"/>
  <c r="AA77" i="5"/>
  <c r="AB77" i="5"/>
  <c r="C77" i="6"/>
  <c r="O77" i="5"/>
  <c r="A80" i="6"/>
  <c r="M80" i="6" s="1"/>
  <c r="AX80" i="6" s="1"/>
  <c r="H80" i="6"/>
  <c r="T80" i="5" s="1"/>
  <c r="G80" i="6"/>
  <c r="Y76" i="12"/>
  <c r="AG79" i="6"/>
  <c r="AK79" i="6"/>
  <c r="AF79" i="6"/>
  <c r="AC79" i="6"/>
  <c r="AB79" i="6"/>
  <c r="AI79" i="6"/>
  <c r="AF83" i="5"/>
  <c r="K81" i="12" l="1"/>
  <c r="AG83" i="5"/>
  <c r="S83" i="5"/>
  <c r="F83" i="12" s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AA78" i="5"/>
  <c r="C78" i="12"/>
  <c r="AO78" i="12"/>
  <c r="M78" i="12"/>
  <c r="O78" i="12"/>
  <c r="C78" i="6"/>
  <c r="O78" i="5"/>
  <c r="AM79" i="5"/>
  <c r="I79" i="12"/>
  <c r="L79" i="5"/>
  <c r="Z79" i="5"/>
  <c r="AC79" i="5"/>
  <c r="N77" i="12"/>
  <c r="E82" i="12"/>
  <c r="F82" i="6"/>
  <c r="D82" i="6"/>
  <c r="L82" i="12"/>
  <c r="J82" i="12"/>
  <c r="G81" i="6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E77" i="6"/>
  <c r="D77" i="12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R83" i="5"/>
  <c r="F83" i="5"/>
  <c r="C84" i="5"/>
  <c r="T75" i="12"/>
  <c r="V75" i="12"/>
  <c r="U75" i="12"/>
  <c r="AF84" i="5"/>
  <c r="AG84" i="5" l="1"/>
  <c r="S84" i="5"/>
  <c r="F84" i="12" s="1"/>
  <c r="M81" i="6"/>
  <c r="AF81" i="6" s="1"/>
  <c r="N78" i="12"/>
  <c r="J84" i="5"/>
  <c r="W84" i="5"/>
  <c r="H84" i="12" s="1"/>
  <c r="G84" i="5"/>
  <c r="F84" i="5"/>
  <c r="A84" i="12"/>
  <c r="K84" i="5"/>
  <c r="H84" i="5"/>
  <c r="B84" i="6"/>
  <c r="R84" i="5"/>
  <c r="B84" i="5"/>
  <c r="E84" i="5"/>
  <c r="D84" i="5"/>
  <c r="B84" i="12" s="1"/>
  <c r="AE84" i="5"/>
  <c r="AD84" i="5"/>
  <c r="C85" i="5"/>
  <c r="N84" i="5"/>
  <c r="E83" i="12"/>
  <c r="F83" i="6"/>
  <c r="U76" i="12"/>
  <c r="V76" i="12"/>
  <c r="T76" i="12"/>
  <c r="G82" i="6"/>
  <c r="H82" i="6"/>
  <c r="T82" i="5" s="1"/>
  <c r="A82" i="6"/>
  <c r="C79" i="12"/>
  <c r="M79" i="12"/>
  <c r="O79" i="12"/>
  <c r="AO79" i="12"/>
  <c r="D78" i="12"/>
  <c r="E78" i="6"/>
  <c r="Y78" i="12"/>
  <c r="AM80" i="5"/>
  <c r="L80" i="5"/>
  <c r="I80" i="12"/>
  <c r="Z80" i="5"/>
  <c r="AC80" i="5"/>
  <c r="D83" i="6"/>
  <c r="J83" i="12"/>
  <c r="L83" i="12"/>
  <c r="X77" i="12"/>
  <c r="W77" i="12"/>
  <c r="G81" i="12"/>
  <c r="X81" i="5"/>
  <c r="K82" i="12"/>
  <c r="AA79" i="5"/>
  <c r="AB79" i="5"/>
  <c r="C79" i="6"/>
  <c r="O79" i="5"/>
  <c r="AF85" i="5"/>
  <c r="BE81" i="6" l="1"/>
  <c r="AS81" i="6"/>
  <c r="AC81" i="6"/>
  <c r="AT81" i="6"/>
  <c r="AB81" i="6"/>
  <c r="BC81" i="6"/>
  <c r="AX81" i="6"/>
  <c r="AO81" i="6"/>
  <c r="AD81" i="6"/>
  <c r="N79" i="12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D79" i="12"/>
  <c r="E79" i="6"/>
  <c r="G83" i="6"/>
  <c r="H83" i="6"/>
  <c r="T83" i="5" s="1"/>
  <c r="C80" i="6"/>
  <c r="O80" i="5"/>
  <c r="W78" i="12"/>
  <c r="X78" i="12"/>
  <c r="D84" i="6"/>
  <c r="AM81" i="5"/>
  <c r="I81" i="12"/>
  <c r="L81" i="5"/>
  <c r="Z81" i="5"/>
  <c r="AC81" i="5"/>
  <c r="V77" i="12"/>
  <c r="T77" i="12"/>
  <c r="U77" i="12"/>
  <c r="AA80" i="5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R85" i="5"/>
  <c r="C86" i="5"/>
  <c r="E84" i="12"/>
  <c r="F84" i="6"/>
  <c r="J84" i="12"/>
  <c r="L84" i="12"/>
  <c r="AF86" i="5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S86" i="5"/>
  <c r="F86" i="12" s="1"/>
  <c r="AG86" i="5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R86" i="5"/>
  <c r="L85" i="12"/>
  <c r="J85" i="12"/>
  <c r="D85" i="6"/>
  <c r="I82" i="12"/>
  <c r="L82" i="5"/>
  <c r="AM82" i="5"/>
  <c r="Z82" i="5"/>
  <c r="AC82" i="5"/>
  <c r="W79" i="12"/>
  <c r="X79" i="12"/>
  <c r="C81" i="12"/>
  <c r="AO81" i="12"/>
  <c r="O81" i="12"/>
  <c r="M81" i="12"/>
  <c r="H84" i="6"/>
  <c r="T84" i="5" s="1"/>
  <c r="G84" i="6"/>
  <c r="D80" i="12"/>
  <c r="E80" i="6"/>
  <c r="G83" i="12"/>
  <c r="X83" i="5"/>
  <c r="E85" i="12"/>
  <c r="F85" i="6"/>
  <c r="N80" i="12"/>
  <c r="Y80" i="12"/>
  <c r="AA81" i="5"/>
  <c r="AB81" i="5"/>
  <c r="C81" i="6"/>
  <c r="O81" i="5"/>
  <c r="U78" i="12"/>
  <c r="V78" i="12"/>
  <c r="T78" i="12"/>
  <c r="AF87" i="5"/>
  <c r="AD83" i="6" l="1"/>
  <c r="AQ83" i="6"/>
  <c r="AY83" i="6"/>
  <c r="AI83" i="6"/>
  <c r="AC83" i="6"/>
  <c r="AZ83" i="6"/>
  <c r="BA83" i="6"/>
  <c r="AK83" i="6"/>
  <c r="A85" i="6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S87" i="5"/>
  <c r="F87" i="12" s="1"/>
  <c r="AG87" i="5"/>
  <c r="AJ84" i="6"/>
  <c r="AI84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R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C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O82" i="5"/>
  <c r="K85" i="12"/>
  <c r="F86" i="6"/>
  <c r="E86" i="12"/>
  <c r="AF88" i="5"/>
  <c r="M85" i="6" l="1"/>
  <c r="AO85" i="6" s="1"/>
  <c r="A86" i="6"/>
  <c r="M86" i="6" s="1"/>
  <c r="BA86" i="6" s="1"/>
  <c r="AG88" i="5"/>
  <c r="S88" i="5"/>
  <c r="F88" i="12" s="1"/>
  <c r="Y82" i="12"/>
  <c r="W82" i="12" s="1"/>
  <c r="D82" i="12"/>
  <c r="E82" i="6"/>
  <c r="W81" i="12"/>
  <c r="X81" i="12"/>
  <c r="C83" i="6"/>
  <c r="O83" i="5"/>
  <c r="H86" i="6"/>
  <c r="T86" i="5" s="1"/>
  <c r="G86" i="6"/>
  <c r="J87" i="12"/>
  <c r="L87" i="12"/>
  <c r="F87" i="6"/>
  <c r="E87" i="12"/>
  <c r="G85" i="12"/>
  <c r="X85" i="5"/>
  <c r="V80" i="12"/>
  <c r="T80" i="12"/>
  <c r="U80" i="12"/>
  <c r="I84" i="12"/>
  <c r="L84" i="5"/>
  <c r="AM84" i="5"/>
  <c r="Z84" i="5"/>
  <c r="AC84" i="5"/>
  <c r="AB83" i="5"/>
  <c r="AA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R88" i="5"/>
  <c r="J88" i="5"/>
  <c r="A88" i="12"/>
  <c r="C89" i="5"/>
  <c r="F88" i="5"/>
  <c r="AE88" i="5"/>
  <c r="AD88" i="5"/>
  <c r="N82" i="12"/>
  <c r="AF89" i="5"/>
  <c r="A87" i="6" l="1"/>
  <c r="M87" i="6" s="1"/>
  <c r="AV87" i="6" s="1"/>
  <c r="AJ85" i="6"/>
  <c r="BC85" i="6"/>
  <c r="AR85" i="6"/>
  <c r="AX85" i="6"/>
  <c r="AZ85" i="6"/>
  <c r="AK85" i="6"/>
  <c r="BB85" i="6"/>
  <c r="AI85" i="6"/>
  <c r="AF85" i="6"/>
  <c r="AG85" i="6"/>
  <c r="AD85" i="6"/>
  <c r="AC85" i="6"/>
  <c r="BE85" i="6"/>
  <c r="AV85" i="6"/>
  <c r="AE85" i="6"/>
  <c r="AB85" i="6"/>
  <c r="AH85" i="6"/>
  <c r="AM85" i="6"/>
  <c r="BF85" i="6"/>
  <c r="AS85" i="6"/>
  <c r="AU85" i="6"/>
  <c r="BA85" i="6"/>
  <c r="AY85" i="6"/>
  <c r="AT85" i="6"/>
  <c r="AQ85" i="6"/>
  <c r="AP85" i="6"/>
  <c r="BG85" i="6"/>
  <c r="BD85" i="6"/>
  <c r="AN85" i="6"/>
  <c r="X82" i="12"/>
  <c r="AT86" i="6"/>
  <c r="AG86" i="6"/>
  <c r="AU86" i="6"/>
  <c r="AZ86" i="6"/>
  <c r="AP86" i="6"/>
  <c r="AJ86" i="6"/>
  <c r="S89" i="5"/>
  <c r="F89" i="12" s="1"/>
  <c r="AG89" i="5"/>
  <c r="AM86" i="6"/>
  <c r="AN86" i="6"/>
  <c r="AQ86" i="6"/>
  <c r="BE86" i="6"/>
  <c r="AF86" i="6"/>
  <c r="BG86" i="6"/>
  <c r="K87" i="12"/>
  <c r="BC86" i="6"/>
  <c r="AO86" i="6"/>
  <c r="AE86" i="6"/>
  <c r="AV86" i="6"/>
  <c r="AR86" i="6"/>
  <c r="BB86" i="6"/>
  <c r="AS86" i="6"/>
  <c r="BD86" i="6"/>
  <c r="AY86" i="6"/>
  <c r="BF86" i="6"/>
  <c r="AX86" i="6"/>
  <c r="R89" i="5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AC85" i="5"/>
  <c r="G86" i="12"/>
  <c r="X86" i="5"/>
  <c r="D83" i="12"/>
  <c r="E83" i="6"/>
  <c r="J88" i="12"/>
  <c r="L88" i="12"/>
  <c r="F88" i="6"/>
  <c r="E88" i="12"/>
  <c r="H87" i="6"/>
  <c r="T87" i="5" s="1"/>
  <c r="G87" i="6"/>
  <c r="N83" i="12"/>
  <c r="Y83" i="12"/>
  <c r="AB84" i="5"/>
  <c r="AA84" i="5"/>
  <c r="C84" i="6"/>
  <c r="O84" i="5"/>
  <c r="T82" i="12"/>
  <c r="V82" i="12"/>
  <c r="U82" i="12"/>
  <c r="AH86" i="6"/>
  <c r="AC86" i="6"/>
  <c r="AB86" i="6"/>
  <c r="AI86" i="6"/>
  <c r="AD86" i="6"/>
  <c r="AK86" i="6"/>
  <c r="U81" i="12"/>
  <c r="V81" i="12"/>
  <c r="T81" i="12"/>
  <c r="AF90" i="5"/>
  <c r="A88" i="6" l="1"/>
  <c r="M88" i="6" s="1"/>
  <c r="AN88" i="6" s="1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G90" i="5"/>
  <c r="S90" i="5"/>
  <c r="F90" i="12" s="1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C86" i="5"/>
  <c r="AA85" i="5"/>
  <c r="AB85" i="5"/>
  <c r="C85" i="12"/>
  <c r="O85" i="12"/>
  <c r="AO85" i="12"/>
  <c r="M85" i="12"/>
  <c r="H88" i="6"/>
  <c r="T88" i="5" s="1"/>
  <c r="G88" i="6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R90" i="5"/>
  <c r="C91" i="5"/>
  <c r="K90" i="5"/>
  <c r="G90" i="5"/>
  <c r="AD90" i="5"/>
  <c r="AK87" i="6"/>
  <c r="AF87" i="6"/>
  <c r="AH87" i="6"/>
  <c r="AD87" i="6"/>
  <c r="C85" i="6"/>
  <c r="O85" i="5"/>
  <c r="N84" i="12"/>
  <c r="D89" i="6"/>
  <c r="F89" i="6"/>
  <c r="E89" i="12"/>
  <c r="AF91" i="5"/>
  <c r="AO88" i="6" l="1"/>
  <c r="W84" i="12"/>
  <c r="U84" i="12" s="1"/>
  <c r="BF88" i="6"/>
  <c r="AG91" i="5"/>
  <c r="S91" i="5"/>
  <c r="F91" i="12" s="1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G89" i="6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R91" i="5"/>
  <c r="AE91" i="5"/>
  <c r="H91" i="5"/>
  <c r="AD91" i="5"/>
  <c r="B91" i="5"/>
  <c r="F90" i="6"/>
  <c r="E90" i="12"/>
  <c r="L90" i="12"/>
  <c r="J90" i="12"/>
  <c r="N85" i="12"/>
  <c r="C86" i="12"/>
  <c r="AO86" i="12"/>
  <c r="M86" i="12"/>
  <c r="O86" i="12"/>
  <c r="I87" i="12"/>
  <c r="L87" i="5"/>
  <c r="AM87" i="5"/>
  <c r="Z87" i="5"/>
  <c r="AC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AF92" i="5"/>
  <c r="V84" i="12" l="1"/>
  <c r="T84" i="12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AA87" i="5"/>
  <c r="AB87" i="5"/>
  <c r="C87" i="12"/>
  <c r="AO87" i="12"/>
  <c r="O87" i="12"/>
  <c r="M87" i="12"/>
  <c r="D91" i="6"/>
  <c r="AM88" i="5"/>
  <c r="I88" i="12"/>
  <c r="L88" i="5"/>
  <c r="Z88" i="5"/>
  <c r="AC88" i="5"/>
  <c r="H90" i="6"/>
  <c r="T90" i="5" s="1"/>
  <c r="G90" i="6"/>
  <c r="C87" i="6"/>
  <c r="O87" i="5"/>
  <c r="N86" i="12"/>
  <c r="Y86" i="12"/>
  <c r="K90" i="12"/>
  <c r="F91" i="6"/>
  <c r="E91" i="12"/>
  <c r="C93" i="5"/>
  <c r="J92" i="5"/>
  <c r="H92" i="5"/>
  <c r="R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AA88" i="5"/>
  <c r="C88" i="6"/>
  <c r="O88" i="5"/>
  <c r="H91" i="6"/>
  <c r="T91" i="5" s="1"/>
  <c r="G91" i="6"/>
  <c r="A91" i="6"/>
  <c r="U85" i="12"/>
  <c r="V85" i="12"/>
  <c r="T85" i="12"/>
  <c r="I89" i="12"/>
  <c r="L89" i="5"/>
  <c r="AM89" i="5"/>
  <c r="Z89" i="5"/>
  <c r="AC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R93" i="5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F94" i="5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S94" i="5"/>
  <c r="F94" i="12" s="1"/>
  <c r="AG94" i="5"/>
  <c r="M91" i="6"/>
  <c r="BE91" i="6" s="1"/>
  <c r="K92" i="12"/>
  <c r="V86" i="12"/>
  <c r="T86" i="12"/>
  <c r="U86" i="12"/>
  <c r="F93" i="6"/>
  <c r="E93" i="12"/>
  <c r="L93" i="12"/>
  <c r="J93" i="12"/>
  <c r="C89" i="6"/>
  <c r="O89" i="5"/>
  <c r="D88" i="12"/>
  <c r="E88" i="6"/>
  <c r="I90" i="12"/>
  <c r="AM90" i="5"/>
  <c r="L90" i="5"/>
  <c r="Z90" i="5"/>
  <c r="AC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R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G92" i="6"/>
  <c r="AF95" i="5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S95" i="5"/>
  <c r="F95" i="12" s="1"/>
  <c r="AG95" i="5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G93" i="6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AC91" i="5"/>
  <c r="Y89" i="12"/>
  <c r="L94" i="12"/>
  <c r="J94" i="12"/>
  <c r="E94" i="12"/>
  <c r="F94" i="6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R95" i="5"/>
  <c r="J95" i="5"/>
  <c r="B95" i="5"/>
  <c r="B95" i="6"/>
  <c r="X88" i="12"/>
  <c r="W88" i="12"/>
  <c r="C90" i="6"/>
  <c r="O90" i="5"/>
  <c r="C90" i="12"/>
  <c r="AO90" i="12"/>
  <c r="M90" i="12"/>
  <c r="O90" i="12"/>
  <c r="AF96" i="5"/>
  <c r="A94" i="6" l="1"/>
  <c r="M94" i="6" s="1"/>
  <c r="AX94" i="6" s="1"/>
  <c r="BD93" i="6"/>
  <c r="AY93" i="6"/>
  <c r="AR93" i="6"/>
  <c r="S96" i="5"/>
  <c r="F96" i="12" s="1"/>
  <c r="AG96" i="5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J95" i="12"/>
  <c r="L95" i="12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R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G94" i="6"/>
  <c r="AF97" i="5"/>
  <c r="Y91" i="12" l="1"/>
  <c r="W91" i="12" s="1"/>
  <c r="S97" i="5"/>
  <c r="F97" i="12" s="1"/>
  <c r="AG97" i="5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L96" i="12"/>
  <c r="J96" i="12"/>
  <c r="G97" i="5"/>
  <c r="F97" i="5"/>
  <c r="A97" i="12"/>
  <c r="AE97" i="5"/>
  <c r="J97" i="5"/>
  <c r="AD97" i="5"/>
  <c r="N97" i="5"/>
  <c r="D97" i="5"/>
  <c r="B97" i="12" s="1"/>
  <c r="R97" i="5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G95" i="6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C93" i="5"/>
  <c r="E96" i="12"/>
  <c r="F96" i="6"/>
  <c r="A95" i="6"/>
  <c r="C92" i="6"/>
  <c r="O92" i="5"/>
  <c r="W90" i="12"/>
  <c r="X90" i="12"/>
  <c r="AF98" i="5"/>
  <c r="X91" i="12" l="1"/>
  <c r="S98" i="5"/>
  <c r="F98" i="12" s="1"/>
  <c r="AG98" i="5"/>
  <c r="A96" i="6"/>
  <c r="M96" i="6" s="1"/>
  <c r="N92" i="12"/>
  <c r="T90" i="12"/>
  <c r="U90" i="12"/>
  <c r="V90" i="12"/>
  <c r="C93" i="12"/>
  <c r="O93" i="12"/>
  <c r="AO93" i="12"/>
  <c r="M93" i="12"/>
  <c r="C93" i="6"/>
  <c r="O93" i="5"/>
  <c r="G96" i="6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AC94" i="5"/>
  <c r="G95" i="12"/>
  <c r="X95" i="5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R98" i="5"/>
  <c r="B98" i="6"/>
  <c r="D98" i="5"/>
  <c r="B98" i="12" s="1"/>
  <c r="AD98" i="5"/>
  <c r="E98" i="5"/>
  <c r="K98" i="5"/>
  <c r="B98" i="5"/>
  <c r="J98" i="5"/>
  <c r="A98" i="12"/>
  <c r="E97" i="12"/>
  <c r="F97" i="6"/>
  <c r="K96" i="12"/>
  <c r="AF99" i="5"/>
  <c r="A97" i="6" l="1"/>
  <c r="M97" i="6" s="1"/>
  <c r="AT97" i="6" s="1"/>
  <c r="AS96" i="6"/>
  <c r="AP96" i="6"/>
  <c r="AU96" i="6"/>
  <c r="S99" i="5"/>
  <c r="F99" i="12" s="1"/>
  <c r="AG99" i="5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R99" i="5"/>
  <c r="AE99" i="5"/>
  <c r="F99" i="5"/>
  <c r="B99" i="5"/>
  <c r="G99" i="5"/>
  <c r="C94" i="6"/>
  <c r="O94" i="5"/>
  <c r="C94" i="12"/>
  <c r="O94" i="12"/>
  <c r="M94" i="12"/>
  <c r="AO94" i="12"/>
  <c r="L98" i="12"/>
  <c r="J98" i="12"/>
  <c r="F98" i="6"/>
  <c r="E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C95" i="5"/>
  <c r="AA94" i="5"/>
  <c r="AB94" i="5"/>
  <c r="K97" i="12"/>
  <c r="H97" i="6"/>
  <c r="T97" i="5" s="1"/>
  <c r="G97" i="6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AF100" i="5"/>
  <c r="W93" i="12" l="1"/>
  <c r="V93" i="12" s="1"/>
  <c r="Y94" i="12"/>
  <c r="W94" i="12" s="1"/>
  <c r="AC97" i="6"/>
  <c r="BC97" i="6"/>
  <c r="AB97" i="6"/>
  <c r="S100" i="5"/>
  <c r="F100" i="12" s="1"/>
  <c r="AG100" i="5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AC96" i="5"/>
  <c r="C95" i="12"/>
  <c r="M95" i="12"/>
  <c r="O95" i="12"/>
  <c r="AO95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R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AA95" i="5"/>
  <c r="C95" i="6"/>
  <c r="O95" i="5"/>
  <c r="T92" i="12"/>
  <c r="V92" i="12"/>
  <c r="U92" i="12"/>
  <c r="H98" i="6"/>
  <c r="T98" i="5" s="1"/>
  <c r="G98" i="6"/>
  <c r="N94" i="12"/>
  <c r="D94" i="12"/>
  <c r="E94" i="6"/>
  <c r="F99" i="6"/>
  <c r="E99" i="12"/>
  <c r="D99" i="6"/>
  <c r="A98" i="6"/>
  <c r="M98" i="6" s="1"/>
  <c r="AF101" i="5"/>
  <c r="T93" i="12" l="1"/>
  <c r="U93" i="12"/>
  <c r="X94" i="12"/>
  <c r="AG101" i="5"/>
  <c r="S101" i="5"/>
  <c r="F101" i="12" s="1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E95" i="6"/>
  <c r="D95" i="12"/>
  <c r="AM97" i="5"/>
  <c r="L97" i="5"/>
  <c r="I97" i="12"/>
  <c r="Z97" i="5"/>
  <c r="AC97" i="5"/>
  <c r="L100" i="12"/>
  <c r="J100" i="12"/>
  <c r="AA96" i="5"/>
  <c r="AB96" i="5"/>
  <c r="C96" i="6"/>
  <c r="O96" i="5"/>
  <c r="A99" i="6"/>
  <c r="M99" i="6" s="1"/>
  <c r="AM99" i="6" s="1"/>
  <c r="H99" i="6"/>
  <c r="T99" i="5" s="1"/>
  <c r="G99" i="6"/>
  <c r="AF98" i="6"/>
  <c r="AB98" i="6"/>
  <c r="AI98" i="6"/>
  <c r="AK98" i="6"/>
  <c r="AC98" i="6"/>
  <c r="AE98" i="6"/>
  <c r="E100" i="12"/>
  <c r="F100" i="6"/>
  <c r="E101" i="5"/>
  <c r="AE101" i="5"/>
  <c r="W101" i="5"/>
  <c r="H101" i="12" s="1"/>
  <c r="N101" i="5"/>
  <c r="C102" i="5"/>
  <c r="R101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AF102" i="5"/>
  <c r="W95" i="12" l="1"/>
  <c r="V95" i="12" s="1"/>
  <c r="A100" i="6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AG102" i="5"/>
  <c r="S102" i="5"/>
  <c r="F102" i="12" s="1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E101" i="12"/>
  <c r="F101" i="6"/>
  <c r="D101" i="6"/>
  <c r="G99" i="12"/>
  <c r="X99" i="5"/>
  <c r="D96" i="12"/>
  <c r="E96" i="6"/>
  <c r="K100" i="12"/>
  <c r="C97" i="12"/>
  <c r="AO97" i="12"/>
  <c r="M97" i="12"/>
  <c r="O97" i="12"/>
  <c r="G100" i="6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R102" i="5"/>
  <c r="B102" i="5"/>
  <c r="AD102" i="5"/>
  <c r="G102" i="5"/>
  <c r="F102" i="5"/>
  <c r="AH99" i="6"/>
  <c r="AF99" i="6"/>
  <c r="AJ99" i="6"/>
  <c r="AE99" i="6"/>
  <c r="AB99" i="6"/>
  <c r="AA97" i="5"/>
  <c r="AB97" i="5"/>
  <c r="C97" i="6"/>
  <c r="O97" i="5"/>
  <c r="L98" i="5"/>
  <c r="I98" i="12"/>
  <c r="AM98" i="5"/>
  <c r="Z98" i="5"/>
  <c r="AC98" i="5"/>
  <c r="AF103" i="5"/>
  <c r="T95" i="12" l="1"/>
  <c r="A101" i="6"/>
  <c r="U95" i="12"/>
  <c r="N97" i="12"/>
  <c r="S103" i="5"/>
  <c r="F103" i="12" s="1"/>
  <c r="AG103" i="5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AA98" i="5"/>
  <c r="C98" i="12"/>
  <c r="AO98" i="12"/>
  <c r="O98" i="12"/>
  <c r="M98" i="12"/>
  <c r="E97" i="6"/>
  <c r="D97" i="12"/>
  <c r="E102" i="12"/>
  <c r="F102" i="6"/>
  <c r="D102" i="6"/>
  <c r="L102" i="12"/>
  <c r="J102" i="12"/>
  <c r="G100" i="12"/>
  <c r="X100" i="5"/>
  <c r="Y97" i="12"/>
  <c r="C98" i="6"/>
  <c r="O98" i="5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R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AC99" i="5"/>
  <c r="G101" i="6"/>
  <c r="H101" i="6"/>
  <c r="T101" i="5" s="1"/>
  <c r="W96" i="12"/>
  <c r="X96" i="12"/>
  <c r="AF104" i="5"/>
  <c r="M101" i="6" l="1"/>
  <c r="BC101" i="6" s="1"/>
  <c r="S104" i="5"/>
  <c r="F104" i="12" s="1"/>
  <c r="AG104" i="5"/>
  <c r="Y98" i="12"/>
  <c r="W98" i="12" s="1"/>
  <c r="V96" i="12"/>
  <c r="T96" i="12"/>
  <c r="U96" i="12"/>
  <c r="AB99" i="5"/>
  <c r="AA99" i="5"/>
  <c r="C99" i="12"/>
  <c r="AO99" i="12"/>
  <c r="O99" i="12"/>
  <c r="M99" i="12"/>
  <c r="F103" i="6"/>
  <c r="E103" i="12"/>
  <c r="I100" i="12"/>
  <c r="L100" i="5"/>
  <c r="AM100" i="5"/>
  <c r="Z100" i="5"/>
  <c r="AC100" i="5"/>
  <c r="K102" i="12"/>
  <c r="G102" i="6"/>
  <c r="H102" i="6"/>
  <c r="T102" i="5" s="1"/>
  <c r="G101" i="12"/>
  <c r="X101" i="5"/>
  <c r="C99" i="6"/>
  <c r="O99" i="5"/>
  <c r="R104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E98" i="6"/>
  <c r="D98" i="12"/>
  <c r="X97" i="12"/>
  <c r="W97" i="12"/>
  <c r="A102" i="6"/>
  <c r="M102" i="6" s="1"/>
  <c r="N98" i="12"/>
  <c r="AF105" i="5"/>
  <c r="BB101" i="6" l="1"/>
  <c r="AK101" i="6"/>
  <c r="AN101" i="6"/>
  <c r="AQ101" i="6"/>
  <c r="AC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G105" i="5"/>
  <c r="S105" i="5"/>
  <c r="F105" i="12" s="1"/>
  <c r="AS102" i="6"/>
  <c r="BA102" i="6"/>
  <c r="BG102" i="6"/>
  <c r="K103" i="12"/>
  <c r="AK102" i="6"/>
  <c r="N99" i="12"/>
  <c r="U97" i="12"/>
  <c r="T97" i="12"/>
  <c r="V97" i="12"/>
  <c r="H103" i="6"/>
  <c r="T103" i="5" s="1"/>
  <c r="G103" i="6"/>
  <c r="J104" i="12"/>
  <c r="L104" i="12"/>
  <c r="E104" i="12"/>
  <c r="F104" i="6"/>
  <c r="I101" i="12"/>
  <c r="L101" i="5"/>
  <c r="AM101" i="5"/>
  <c r="Z101" i="5"/>
  <c r="AC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O100" i="5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E99" i="6"/>
  <c r="D99" i="12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AA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E100" i="6"/>
  <c r="D100" i="12"/>
  <c r="L102" i="5"/>
  <c r="AM102" i="5"/>
  <c r="I102" i="12"/>
  <c r="Z102" i="5"/>
  <c r="AC102" i="5"/>
  <c r="C101" i="6"/>
  <c r="O101" i="5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G104" i="6"/>
  <c r="H104" i="6"/>
  <c r="T104" i="5" s="1"/>
  <c r="AB101" i="5"/>
  <c r="AA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W100" i="12" l="1"/>
  <c r="U100" i="12" s="1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C103" i="5"/>
  <c r="E101" i="6"/>
  <c r="D101" i="12"/>
  <c r="AB102" i="5"/>
  <c r="AA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O102" i="5"/>
  <c r="AF108" i="5"/>
  <c r="T100" i="12" l="1"/>
  <c r="V100" i="12"/>
  <c r="AG108" i="5"/>
  <c r="S108" i="5"/>
  <c r="F108" i="12" s="1"/>
  <c r="A106" i="6"/>
  <c r="M106" i="6" s="1"/>
  <c r="AU106" i="6" s="1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D102" i="12"/>
  <c r="E102" i="6"/>
  <c r="N102" i="12"/>
  <c r="AE108" i="5"/>
  <c r="D108" i="5"/>
  <c r="B108" i="12" s="1"/>
  <c r="G108" i="5"/>
  <c r="C109" i="5"/>
  <c r="H108" i="5"/>
  <c r="K108" i="5"/>
  <c r="AD108" i="5"/>
  <c r="F108" i="5"/>
  <c r="J108" i="5"/>
  <c r="R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AC104" i="5"/>
  <c r="AF109" i="5"/>
  <c r="N103" i="12" l="1"/>
  <c r="A107" i="6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R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AF110" i="5"/>
  <c r="X103" i="12" l="1"/>
  <c r="Y104" i="12"/>
  <c r="X104" i="12" s="1"/>
  <c r="M107" i="6"/>
  <c r="AT107" i="6" s="1"/>
  <c r="S110" i="5"/>
  <c r="F110" i="12" s="1"/>
  <c r="AG110" i="5"/>
  <c r="K108" i="12"/>
  <c r="N104" i="12"/>
  <c r="C105" i="12"/>
  <c r="O105" i="12"/>
  <c r="M105" i="12"/>
  <c r="AO105" i="12"/>
  <c r="D104" i="12"/>
  <c r="E104" i="6"/>
  <c r="E109" i="12"/>
  <c r="F109" i="6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K110" i="5"/>
  <c r="AE110" i="5"/>
  <c r="B110" i="5"/>
  <c r="W110" i="5"/>
  <c r="H110" i="12" s="1"/>
  <c r="R110" i="5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AF111" i="5"/>
  <c r="W104" i="12" l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S111" i="5"/>
  <c r="F111" i="12" s="1"/>
  <c r="AG111" i="5"/>
  <c r="A109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R111" i="5"/>
  <c r="D111" i="5"/>
  <c r="B111" i="12" s="1"/>
  <c r="C112" i="5"/>
  <c r="F111" i="5"/>
  <c r="AE111" i="5"/>
  <c r="N111" i="5"/>
  <c r="J110" i="12"/>
  <c r="L110" i="12"/>
  <c r="D110" i="6"/>
  <c r="H109" i="6"/>
  <c r="T109" i="5" s="1"/>
  <c r="G109" i="6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V104" i="12"/>
  <c r="T104" i="12"/>
  <c r="U104" i="12"/>
  <c r="AF112" i="5"/>
  <c r="M109" i="6" l="1"/>
  <c r="AV109" i="6" s="1"/>
  <c r="X105" i="12"/>
  <c r="AH108" i="6"/>
  <c r="AI108" i="6"/>
  <c r="AO108" i="6"/>
  <c r="AV108" i="6"/>
  <c r="A110" i="6"/>
  <c r="BB108" i="6"/>
  <c r="AS108" i="6"/>
  <c r="AG112" i="5"/>
  <c r="S112" i="5"/>
  <c r="F112" i="12" s="1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R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AC108" i="5"/>
  <c r="Y106" i="12"/>
  <c r="C107" i="6"/>
  <c r="O107" i="5"/>
  <c r="D111" i="6"/>
  <c r="E111" i="12"/>
  <c r="F111" i="6"/>
  <c r="AF113" i="5"/>
  <c r="AF109" i="6" l="1"/>
  <c r="AE109" i="6"/>
  <c r="AJ109" i="6"/>
  <c r="AB109" i="6"/>
  <c r="AK109" i="6"/>
  <c r="AC109" i="6"/>
  <c r="AO109" i="6"/>
  <c r="AD109" i="6"/>
  <c r="BG109" i="6"/>
  <c r="AM109" i="6"/>
  <c r="AT109" i="6"/>
  <c r="AH109" i="6"/>
  <c r="BE109" i="6"/>
  <c r="AR109" i="6"/>
  <c r="BD109" i="6"/>
  <c r="BB109" i="6"/>
  <c r="AN109" i="6"/>
  <c r="AQ109" i="6"/>
  <c r="AP109" i="6"/>
  <c r="AU109" i="6"/>
  <c r="BF109" i="6"/>
  <c r="BC109" i="6"/>
  <c r="AY109" i="6"/>
  <c r="AS109" i="6"/>
  <c r="BA109" i="6"/>
  <c r="AX109" i="6"/>
  <c r="M110" i="6"/>
  <c r="AY110" i="6" s="1"/>
  <c r="AZ109" i="6"/>
  <c r="AI109" i="6"/>
  <c r="AG109" i="6"/>
  <c r="AG113" i="5"/>
  <c r="S113" i="5"/>
  <c r="F113" i="12" s="1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L112" i="12"/>
  <c r="J112" i="12"/>
  <c r="F112" i="6"/>
  <c r="E112" i="12"/>
  <c r="G110" i="12"/>
  <c r="X110" i="5"/>
  <c r="AA108" i="5"/>
  <c r="AB108" i="5"/>
  <c r="C108" i="6"/>
  <c r="O108" i="5"/>
  <c r="K111" i="12"/>
  <c r="D112" i="6"/>
  <c r="N113" i="5"/>
  <c r="H113" i="5"/>
  <c r="J113" i="5"/>
  <c r="A113" i="12"/>
  <c r="B113" i="5"/>
  <c r="R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AC109" i="5"/>
  <c r="N107" i="12"/>
  <c r="Y107" i="12"/>
  <c r="AF114" i="5"/>
  <c r="AC110" i="6" l="1"/>
  <c r="AH110" i="6"/>
  <c r="AB110" i="6"/>
  <c r="BC110" i="6"/>
  <c r="AQ110" i="6"/>
  <c r="BB110" i="6"/>
  <c r="BD110" i="6"/>
  <c r="AF110" i="6"/>
  <c r="AJ110" i="6"/>
  <c r="AI110" i="6"/>
  <c r="AP110" i="6"/>
  <c r="AK110" i="6"/>
  <c r="AU110" i="6"/>
  <c r="BG110" i="6"/>
  <c r="BF110" i="6"/>
  <c r="AD110" i="6"/>
  <c r="AG110" i="6"/>
  <c r="AS110" i="6"/>
  <c r="AN110" i="6"/>
  <c r="AX110" i="6"/>
  <c r="AT110" i="6"/>
  <c r="BA110" i="6"/>
  <c r="AE110" i="6"/>
  <c r="AM110" i="6"/>
  <c r="AO110" i="6"/>
  <c r="AZ110" i="6"/>
  <c r="BE110" i="6"/>
  <c r="AV110" i="6"/>
  <c r="AR110" i="6"/>
  <c r="S114" i="5"/>
  <c r="F114" i="12" s="1"/>
  <c r="AG114" i="5"/>
  <c r="N108" i="12"/>
  <c r="W107" i="12"/>
  <c r="X107" i="12"/>
  <c r="D113" i="6"/>
  <c r="H112" i="6"/>
  <c r="T112" i="5" s="1"/>
  <c r="G112" i="6"/>
  <c r="E108" i="6"/>
  <c r="D108" i="12"/>
  <c r="AM110" i="5"/>
  <c r="I110" i="12"/>
  <c r="L110" i="5"/>
  <c r="Z110" i="5"/>
  <c r="AC110" i="5"/>
  <c r="K112" i="12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R114" i="5"/>
  <c r="W114" i="5"/>
  <c r="H114" i="12" s="1"/>
  <c r="C115" i="5"/>
  <c r="AD114" i="5"/>
  <c r="G114" i="5"/>
  <c r="D114" i="5"/>
  <c r="B114" i="12" s="1"/>
  <c r="H114" i="5"/>
  <c r="N114" i="5"/>
  <c r="E114" i="5"/>
  <c r="B114" i="5"/>
  <c r="F113" i="6"/>
  <c r="E113" i="12"/>
  <c r="J113" i="12"/>
  <c r="L113" i="12"/>
  <c r="A112" i="6"/>
  <c r="M111" i="6"/>
  <c r="AG111" i="6" s="1"/>
  <c r="AF115" i="5"/>
  <c r="A113" i="6" l="1"/>
  <c r="AG115" i="5"/>
  <c r="S115" i="5"/>
  <c r="F115" i="12" s="1"/>
  <c r="AE111" i="6"/>
  <c r="AH111" i="6"/>
  <c r="AB111" i="6"/>
  <c r="AK111" i="6"/>
  <c r="K113" i="12"/>
  <c r="Y109" i="12"/>
  <c r="X109" i="12" s="1"/>
  <c r="AD115" i="5"/>
  <c r="R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14" i="12"/>
  <c r="F114" i="6"/>
  <c r="E109" i="6"/>
  <c r="D109" i="12"/>
  <c r="L111" i="5"/>
  <c r="AM111" i="5"/>
  <c r="I111" i="12"/>
  <c r="Z111" i="5"/>
  <c r="AC111" i="5"/>
  <c r="C110" i="6"/>
  <c r="O110" i="5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G113" i="6"/>
  <c r="H113" i="6"/>
  <c r="T113" i="5" s="1"/>
  <c r="T107" i="12"/>
  <c r="V107" i="12"/>
  <c r="U107" i="12"/>
  <c r="AF116" i="5"/>
  <c r="M113" i="6" l="1"/>
  <c r="AO113" i="6" s="1"/>
  <c r="K114" i="12"/>
  <c r="W109" i="12"/>
  <c r="T109" i="12" s="1"/>
  <c r="S116" i="5"/>
  <c r="F116" i="12" s="1"/>
  <c r="AG116" i="5"/>
  <c r="Y110" i="12"/>
  <c r="W110" i="12" s="1"/>
  <c r="G113" i="12"/>
  <c r="X113" i="5"/>
  <c r="I112" i="12"/>
  <c r="AM112" i="5"/>
  <c r="L112" i="5"/>
  <c r="Z112" i="5"/>
  <c r="AC112" i="5"/>
  <c r="T108" i="12"/>
  <c r="V108" i="12"/>
  <c r="U108" i="12"/>
  <c r="AA111" i="5"/>
  <c r="AB111" i="5"/>
  <c r="C111" i="12"/>
  <c r="O111" i="12"/>
  <c r="AO111" i="12"/>
  <c r="M111" i="12"/>
  <c r="C111" i="6"/>
  <c r="O111" i="5"/>
  <c r="D115" i="6"/>
  <c r="W116" i="5"/>
  <c r="H116" i="12" s="1"/>
  <c r="AD116" i="5"/>
  <c r="R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E115" i="12"/>
  <c r="F115" i="6"/>
  <c r="N110" i="12"/>
  <c r="G114" i="6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A114" i="6"/>
  <c r="J115" i="12"/>
  <c r="L115" i="12"/>
  <c r="AF117" i="5"/>
  <c r="AD113" i="6" l="1"/>
  <c r="AS113" i="6"/>
  <c r="AJ113" i="6"/>
  <c r="AH113" i="6"/>
  <c r="BG113" i="6"/>
  <c r="AP113" i="6"/>
  <c r="AY113" i="6"/>
  <c r="AQ113" i="6"/>
  <c r="AT113" i="6"/>
  <c r="AF113" i="6"/>
  <c r="AC113" i="6"/>
  <c r="BD113" i="6"/>
  <c r="AU113" i="6"/>
  <c r="AB113" i="6"/>
  <c r="AE113" i="6"/>
  <c r="AI113" i="6"/>
  <c r="AK113" i="6"/>
  <c r="AR113" i="6"/>
  <c r="BF113" i="6"/>
  <c r="BB113" i="6"/>
  <c r="BC113" i="6"/>
  <c r="AZ113" i="6"/>
  <c r="BE113" i="6"/>
  <c r="AV113" i="6"/>
  <c r="AG113" i="6"/>
  <c r="AM113" i="6"/>
  <c r="BA113" i="6"/>
  <c r="AX113" i="6"/>
  <c r="AN113" i="6"/>
  <c r="X110" i="12"/>
  <c r="V109" i="12"/>
  <c r="U109" i="12"/>
  <c r="S117" i="5"/>
  <c r="F117" i="12" s="1"/>
  <c r="AG117" i="5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R117" i="5"/>
  <c r="AE117" i="5"/>
  <c r="K117" i="5"/>
  <c r="W117" i="5"/>
  <c r="H117" i="12" s="1"/>
  <c r="G117" i="5"/>
  <c r="A117" i="12"/>
  <c r="C118" i="5"/>
  <c r="J117" i="5"/>
  <c r="B117" i="5"/>
  <c r="N117" i="5"/>
  <c r="F116" i="6"/>
  <c r="E116" i="12"/>
  <c r="H115" i="6"/>
  <c r="T115" i="5" s="1"/>
  <c r="G115" i="6"/>
  <c r="AB112" i="5"/>
  <c r="AA112" i="5"/>
  <c r="AM113" i="5"/>
  <c r="L113" i="5"/>
  <c r="I113" i="12"/>
  <c r="Z113" i="5"/>
  <c r="AC113" i="5"/>
  <c r="A115" i="6"/>
  <c r="K115" i="12"/>
  <c r="G114" i="12"/>
  <c r="X114" i="5"/>
  <c r="J116" i="12"/>
  <c r="L116" i="12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F118" i="5"/>
  <c r="X111" i="12" l="1"/>
  <c r="AP114" i="6"/>
  <c r="AK114" i="6"/>
  <c r="AX114" i="6"/>
  <c r="AN114" i="6"/>
  <c r="BE114" i="6"/>
  <c r="AG114" i="6"/>
  <c r="AY114" i="6"/>
  <c r="AG118" i="5"/>
  <c r="S118" i="5"/>
  <c r="F118" i="12" s="1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C114" i="5"/>
  <c r="AB113" i="5"/>
  <c r="AA113" i="5"/>
  <c r="C113" i="6"/>
  <c r="O113" i="5"/>
  <c r="V111" i="12"/>
  <c r="T111" i="12"/>
  <c r="U111" i="12"/>
  <c r="R118" i="5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F117" i="6"/>
  <c r="E117" i="12"/>
  <c r="H116" i="6"/>
  <c r="T116" i="5" s="1"/>
  <c r="G116" i="6"/>
  <c r="AF119" i="5"/>
  <c r="AH115" i="6" l="1"/>
  <c r="A117" i="6"/>
  <c r="AI115" i="6"/>
  <c r="X112" i="12"/>
  <c r="M116" i="6"/>
  <c r="AM116" i="6" s="1"/>
  <c r="AG119" i="5"/>
  <c r="S119" i="5"/>
  <c r="F119" i="12" s="1"/>
  <c r="AB115" i="6"/>
  <c r="AG115" i="6"/>
  <c r="K117" i="12"/>
  <c r="Y113" i="12"/>
  <c r="W113" i="12" s="1"/>
  <c r="G116" i="12"/>
  <c r="X116" i="5"/>
  <c r="D118" i="6"/>
  <c r="E118" i="12"/>
  <c r="F118" i="6"/>
  <c r="D113" i="12"/>
  <c r="E113" i="6"/>
  <c r="H117" i="6"/>
  <c r="T117" i="5" s="1"/>
  <c r="G117" i="6"/>
  <c r="J118" i="12"/>
  <c r="L118" i="12"/>
  <c r="G119" i="5"/>
  <c r="H119" i="5"/>
  <c r="C120" i="5"/>
  <c r="J119" i="5"/>
  <c r="W119" i="5"/>
  <c r="H119" i="12" s="1"/>
  <c r="F119" i="5"/>
  <c r="AD119" i="5"/>
  <c r="R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C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F120" i="5"/>
  <c r="A118" i="6" l="1"/>
  <c r="M118" i="6" s="1"/>
  <c r="BA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S120" i="5"/>
  <c r="F120" i="12" s="1"/>
  <c r="AG120" i="5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R120" i="5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C116" i="5"/>
  <c r="AA115" i="5"/>
  <c r="AB115" i="5"/>
  <c r="C115" i="6"/>
  <c r="O115" i="5"/>
  <c r="D114" i="12"/>
  <c r="E114" i="6"/>
  <c r="N114" i="12"/>
  <c r="Y114" i="12"/>
  <c r="L119" i="12"/>
  <c r="J119" i="12"/>
  <c r="F119" i="6"/>
  <c r="E119" i="12"/>
  <c r="G118" i="6"/>
  <c r="H118" i="6"/>
  <c r="T118" i="5" s="1"/>
  <c r="AF121" i="5"/>
  <c r="A119" i="6" l="1"/>
  <c r="AC117" i="6"/>
  <c r="AO117" i="6"/>
  <c r="AB117" i="6"/>
  <c r="BG117" i="6"/>
  <c r="AJ117" i="6"/>
  <c r="BD117" i="6"/>
  <c r="AZ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AY118" i="6"/>
  <c r="BB118" i="6"/>
  <c r="AS118" i="6"/>
  <c r="BC118" i="6"/>
  <c r="BE118" i="6"/>
  <c r="AZ118" i="6"/>
  <c r="BD118" i="6"/>
  <c r="AR118" i="6"/>
  <c r="AU118" i="6"/>
  <c r="AT118" i="6"/>
  <c r="AO118" i="6"/>
  <c r="AN118" i="6"/>
  <c r="BF118" i="6"/>
  <c r="K119" i="12"/>
  <c r="AC118" i="6"/>
  <c r="AQ118" i="6"/>
  <c r="AV118" i="6"/>
  <c r="G118" i="12"/>
  <c r="X118" i="5"/>
  <c r="AG118" i="6"/>
  <c r="AK118" i="6"/>
  <c r="AI118" i="6"/>
  <c r="AF118" i="6"/>
  <c r="X114" i="12"/>
  <c r="W114" i="12"/>
  <c r="E115" i="6"/>
  <c r="D115" i="12"/>
  <c r="AB116" i="5"/>
  <c r="AA116" i="5"/>
  <c r="I117" i="12"/>
  <c r="AM117" i="5"/>
  <c r="L117" i="5"/>
  <c r="Z117" i="5"/>
  <c r="AC117" i="5"/>
  <c r="J120" i="12"/>
  <c r="L120" i="12"/>
  <c r="D120" i="6"/>
  <c r="A120" i="6" s="1"/>
  <c r="N115" i="12"/>
  <c r="AB118" i="6"/>
  <c r="AE118" i="6"/>
  <c r="AM118" i="6"/>
  <c r="BG118" i="6"/>
  <c r="AH118" i="6"/>
  <c r="AJ118" i="6"/>
  <c r="AD118" i="6"/>
  <c r="AX118" i="6"/>
  <c r="AP118" i="6"/>
  <c r="C116" i="6"/>
  <c r="O116" i="5"/>
  <c r="C116" i="12"/>
  <c r="O116" i="12"/>
  <c r="M116" i="12"/>
  <c r="AO116" i="12"/>
  <c r="E120" i="12"/>
  <c r="F120" i="6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G119" i="6"/>
  <c r="H119" i="6"/>
  <c r="T119" i="5" s="1"/>
  <c r="M119" i="6"/>
  <c r="BB119" i="6" s="1"/>
  <c r="Y115" i="12"/>
  <c r="AF122" i="5"/>
  <c r="Y116" i="12" l="1"/>
  <c r="X116" i="12" s="1"/>
  <c r="AO119" i="6"/>
  <c r="AE119" i="6"/>
  <c r="AR119" i="6"/>
  <c r="AG122" i="5"/>
  <c r="S122" i="5"/>
  <c r="F122" i="12" s="1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E116" i="6"/>
  <c r="D116" i="12"/>
  <c r="AA117" i="5"/>
  <c r="AB117" i="5"/>
  <c r="T114" i="12"/>
  <c r="U114" i="12"/>
  <c r="V114" i="12"/>
  <c r="AM118" i="5"/>
  <c r="I118" i="12"/>
  <c r="L118" i="5"/>
  <c r="Z118" i="5"/>
  <c r="AC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A121" i="6" s="1"/>
  <c r="H120" i="6"/>
  <c r="T120" i="5" s="1"/>
  <c r="M120" i="6"/>
  <c r="BE120" i="6" s="1"/>
  <c r="G120" i="6"/>
  <c r="C117" i="6"/>
  <c r="O117" i="5"/>
  <c r="C117" i="12"/>
  <c r="AO117" i="12"/>
  <c r="M117" i="12"/>
  <c r="O117" i="12"/>
  <c r="AF123" i="5"/>
  <c r="W116" i="12" l="1"/>
  <c r="V116" i="12" s="1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E117" i="6"/>
  <c r="D117" i="12"/>
  <c r="AC120" i="6"/>
  <c r="AO120" i="6"/>
  <c r="AY120" i="6"/>
  <c r="AP120" i="6"/>
  <c r="AM120" i="6"/>
  <c r="BB120" i="6"/>
  <c r="AE120" i="6"/>
  <c r="AI120" i="6"/>
  <c r="G121" i="6"/>
  <c r="H121" i="6"/>
  <c r="T121" i="5" s="1"/>
  <c r="M121" i="6"/>
  <c r="AP121" i="6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AA118" i="5"/>
  <c r="C118" i="6"/>
  <c r="O118" i="5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AC119" i="5"/>
  <c r="U115" i="12"/>
  <c r="V115" i="12"/>
  <c r="T115" i="12"/>
  <c r="C118" i="12"/>
  <c r="O118" i="12"/>
  <c r="M118" i="12"/>
  <c r="AO118" i="12"/>
  <c r="AF124" i="5"/>
  <c r="U116" i="12" l="1"/>
  <c r="T116" i="12"/>
  <c r="Y118" i="12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A119" i="5"/>
  <c r="AB119" i="5"/>
  <c r="C119" i="6"/>
  <c r="O119" i="5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C120" i="5"/>
  <c r="E118" i="6"/>
  <c r="D118" i="12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X118" i="12" l="1"/>
  <c r="Y119" i="12"/>
  <c r="W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R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F124" i="6"/>
  <c r="E124" i="12"/>
  <c r="D119" i="12"/>
  <c r="E119" i="6"/>
  <c r="T118" i="12"/>
  <c r="V118" i="12"/>
  <c r="U118" i="12"/>
  <c r="V117" i="12"/>
  <c r="U117" i="12"/>
  <c r="T117" i="12"/>
  <c r="K123" i="12"/>
  <c r="AB120" i="5"/>
  <c r="AA120" i="5"/>
  <c r="C120" i="12"/>
  <c r="AO120" i="12"/>
  <c r="O120" i="12"/>
  <c r="M120" i="12"/>
  <c r="C120" i="6"/>
  <c r="O120" i="5"/>
  <c r="L124" i="12"/>
  <c r="J124" i="12"/>
  <c r="H123" i="6"/>
  <c r="T123" i="5" s="1"/>
  <c r="G123" i="6"/>
  <c r="G122" i="12"/>
  <c r="X122" i="5"/>
  <c r="AF126" i="5"/>
  <c r="X119" i="12" l="1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A121" i="5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E125" i="12"/>
  <c r="F125" i="6"/>
  <c r="G124" i="6"/>
  <c r="H124" i="6"/>
  <c r="T124" i="5" s="1"/>
  <c r="C121" i="6"/>
  <c r="O121" i="5"/>
  <c r="AF127" i="5"/>
  <c r="Y121" i="12" l="1"/>
  <c r="X121" i="12" s="1"/>
  <c r="M124" i="6"/>
  <c r="BF124" i="6" s="1"/>
  <c r="X120" i="12"/>
  <c r="S127" i="5"/>
  <c r="F127" i="12" s="1"/>
  <c r="AG127" i="5"/>
  <c r="N121" i="12"/>
  <c r="G124" i="12"/>
  <c r="X124" i="5"/>
  <c r="K125" i="12"/>
  <c r="G125" i="6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R127" i="5"/>
  <c r="B127" i="6"/>
  <c r="J127" i="5"/>
  <c r="A127" i="12"/>
  <c r="L123" i="5"/>
  <c r="AM123" i="5"/>
  <c r="I123" i="12"/>
  <c r="Z123" i="5"/>
  <c r="AC123" i="5"/>
  <c r="C122" i="6"/>
  <c r="O122" i="5"/>
  <c r="D121" i="12"/>
  <c r="E121" i="6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AK124" i="6" l="1"/>
  <c r="AM124" i="6"/>
  <c r="AF124" i="6"/>
  <c r="BG124" i="6"/>
  <c r="W121" i="12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T121" i="12"/>
  <c r="V121" i="12"/>
  <c r="U121" i="12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R128" i="5"/>
  <c r="H128" i="5"/>
  <c r="AE128" i="5"/>
  <c r="F128" i="5"/>
  <c r="G125" i="12"/>
  <c r="X125" i="5"/>
  <c r="AJ125" i="6"/>
  <c r="AK125" i="6"/>
  <c r="AF129" i="5"/>
  <c r="X122" i="12" l="1"/>
  <c r="K127" i="12"/>
  <c r="S129" i="5"/>
  <c r="F129" i="12" s="1"/>
  <c r="AG129" i="5"/>
  <c r="A127" i="6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AC125" i="5"/>
  <c r="E128" i="12"/>
  <c r="F128" i="6"/>
  <c r="AD129" i="5"/>
  <c r="B129" i="5"/>
  <c r="R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H127" i="6"/>
  <c r="T127" i="5" s="1"/>
  <c r="AH126" i="6"/>
  <c r="AJ126" i="6"/>
  <c r="AC126" i="6"/>
  <c r="AD126" i="6"/>
  <c r="T122" i="12"/>
  <c r="V122" i="12"/>
  <c r="U122" i="12"/>
  <c r="AF130" i="5"/>
  <c r="M127" i="6" l="1"/>
  <c r="BA127" i="6" s="1"/>
  <c r="A128" i="6"/>
  <c r="M128" i="6" s="1"/>
  <c r="AG130" i="5"/>
  <c r="S130" i="5"/>
  <c r="F130" i="12" s="1"/>
  <c r="Y124" i="12"/>
  <c r="W124" i="12" s="1"/>
  <c r="D124" i="12"/>
  <c r="E124" i="6"/>
  <c r="X123" i="12"/>
  <c r="W123" i="12"/>
  <c r="D129" i="6"/>
  <c r="E129" i="12"/>
  <c r="F129" i="6"/>
  <c r="C125" i="12"/>
  <c r="M125" i="12"/>
  <c r="AO125" i="12"/>
  <c r="O125" i="12"/>
  <c r="K128" i="12"/>
  <c r="G127" i="12"/>
  <c r="X127" i="5"/>
  <c r="AE130" i="5"/>
  <c r="G130" i="5"/>
  <c r="K130" i="5"/>
  <c r="B130" i="6"/>
  <c r="N130" i="5"/>
  <c r="J130" i="5"/>
  <c r="C131" i="5"/>
  <c r="W130" i="5"/>
  <c r="H130" i="12" s="1"/>
  <c r="H130" i="5"/>
  <c r="B130" i="5"/>
  <c r="R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AC126" i="5"/>
  <c r="N124" i="12"/>
  <c r="G128" i="6"/>
  <c r="H128" i="6"/>
  <c r="T128" i="5" s="1"/>
  <c r="AF131" i="5"/>
  <c r="AR127" i="6" l="1"/>
  <c r="AN127" i="6"/>
  <c r="AG127" i="6"/>
  <c r="AO127" i="6"/>
  <c r="AQ127" i="6"/>
  <c r="AS127" i="6"/>
  <c r="AX127" i="6"/>
  <c r="AP127" i="6"/>
  <c r="BF127" i="6"/>
  <c r="AB127" i="6"/>
  <c r="AC127" i="6"/>
  <c r="AI127" i="6"/>
  <c r="AE127" i="6"/>
  <c r="AH127" i="6"/>
  <c r="BD127" i="6"/>
  <c r="AV127" i="6"/>
  <c r="AD127" i="6"/>
  <c r="AM127" i="6"/>
  <c r="BG127" i="6"/>
  <c r="BE127" i="6"/>
  <c r="AK127" i="6"/>
  <c r="AY127" i="6"/>
  <c r="AU127" i="6"/>
  <c r="AF127" i="6"/>
  <c r="AT127" i="6"/>
  <c r="BC127" i="6"/>
  <c r="AZ127" i="6"/>
  <c r="BB127" i="6"/>
  <c r="AJ127" i="6"/>
  <c r="N125" i="12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G131" i="5"/>
  <c r="S131" i="5"/>
  <c r="F131" i="12" s="1"/>
  <c r="AJ128" i="6"/>
  <c r="G128" i="12"/>
  <c r="X128" i="5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F130" i="6"/>
  <c r="E130" i="12"/>
  <c r="N131" i="5"/>
  <c r="C132" i="5"/>
  <c r="AE131" i="5"/>
  <c r="W131" i="5"/>
  <c r="H131" i="12" s="1"/>
  <c r="H131" i="5"/>
  <c r="E131" i="5"/>
  <c r="R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AC127" i="5"/>
  <c r="U123" i="12"/>
  <c r="V123" i="12"/>
  <c r="T123" i="12"/>
  <c r="AF132" i="5"/>
  <c r="W125" i="12" l="1"/>
  <c r="V125" i="12" s="1"/>
  <c r="N126" i="12"/>
  <c r="AG132" i="5"/>
  <c r="S132" i="5"/>
  <c r="F132" i="12" s="1"/>
  <c r="M129" i="6"/>
  <c r="AJ129" i="6" s="1"/>
  <c r="C127" i="6"/>
  <c r="O127" i="5"/>
  <c r="H130" i="6"/>
  <c r="T130" i="5" s="1"/>
  <c r="G130" i="6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J132" i="5"/>
  <c r="K130" i="12"/>
  <c r="G129" i="12"/>
  <c r="X129" i="5"/>
  <c r="A130" i="6"/>
  <c r="I128" i="12"/>
  <c r="AM128" i="5"/>
  <c r="L128" i="5"/>
  <c r="Z128" i="5"/>
  <c r="AC128" i="5"/>
  <c r="AA127" i="5"/>
  <c r="AB127" i="5"/>
  <c r="C127" i="12"/>
  <c r="O127" i="12"/>
  <c r="AO127" i="12"/>
  <c r="M127" i="12"/>
  <c r="E131" i="12"/>
  <c r="F131" i="6"/>
  <c r="D131" i="6"/>
  <c r="Y126" i="12"/>
  <c r="E126" i="6"/>
  <c r="D126" i="12"/>
  <c r="AF133" i="5"/>
  <c r="U125" i="12" l="1"/>
  <c r="T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G133" i="5"/>
  <c r="S133" i="5"/>
  <c r="F133" i="12" s="1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F132" i="6"/>
  <c r="E132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R133" i="5"/>
  <c r="A133" i="12"/>
  <c r="W133" i="5"/>
  <c r="H133" i="12" s="1"/>
  <c r="H133" i="5"/>
  <c r="C134" i="5"/>
  <c r="D127" i="12"/>
  <c r="E127" i="6"/>
  <c r="G131" i="6"/>
  <c r="H131" i="6"/>
  <c r="T131" i="5" s="1"/>
  <c r="N127" i="12"/>
  <c r="L129" i="5"/>
  <c r="AM129" i="5"/>
  <c r="I129" i="12"/>
  <c r="Z129" i="5"/>
  <c r="AC129" i="5"/>
  <c r="K131" i="12"/>
  <c r="M130" i="6"/>
  <c r="G130" i="12"/>
  <c r="X130" i="5"/>
  <c r="AF134" i="5"/>
  <c r="W127" i="12" l="1"/>
  <c r="U127" i="12" s="1"/>
  <c r="AP131" i="6"/>
  <c r="BD131" i="6"/>
  <c r="A132" i="6"/>
  <c r="M132" i="6" s="1"/>
  <c r="BC132" i="6" s="1"/>
  <c r="BB131" i="6"/>
  <c r="AZ131" i="6"/>
  <c r="AO131" i="6"/>
  <c r="AT131" i="6"/>
  <c r="AM131" i="6"/>
  <c r="S134" i="5"/>
  <c r="F134" i="12" s="1"/>
  <c r="AG134" i="5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F133" i="6"/>
  <c r="E133" i="12"/>
  <c r="E128" i="6"/>
  <c r="D128" i="12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R134" i="5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G132" i="6"/>
  <c r="K132" i="12"/>
  <c r="N128" i="12"/>
  <c r="AF135" i="5"/>
  <c r="T127" i="12" l="1"/>
  <c r="V127" i="12"/>
  <c r="A133" i="6"/>
  <c r="M133" i="6" s="1"/>
  <c r="X128" i="12"/>
  <c r="S135" i="5"/>
  <c r="F135" i="12" s="1"/>
  <c r="AG135" i="5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G133" i="6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R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AC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F134" i="6"/>
  <c r="E134" i="12"/>
  <c r="E129" i="6"/>
  <c r="D129" i="12"/>
  <c r="Y129" i="12"/>
  <c r="AF136" i="5"/>
  <c r="A134" i="6" l="1"/>
  <c r="N130" i="12"/>
  <c r="AC133" i="6"/>
  <c r="K134" i="12"/>
  <c r="BD133" i="6"/>
  <c r="S136" i="5"/>
  <c r="F136" i="12" s="1"/>
  <c r="AG136" i="5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2" i="5"/>
  <c r="AM132" i="5"/>
  <c r="I132" i="12"/>
  <c r="Z132" i="5"/>
  <c r="AC132" i="5"/>
  <c r="AB131" i="5"/>
  <c r="AA131" i="5"/>
  <c r="C131" i="6"/>
  <c r="O131" i="5"/>
  <c r="L135" i="12"/>
  <c r="J135" i="12"/>
  <c r="F135" i="6"/>
  <c r="E135" i="12"/>
  <c r="H134" i="6"/>
  <c r="T134" i="5" s="1"/>
  <c r="G134" i="6"/>
  <c r="M134" i="6"/>
  <c r="AV134" i="6" s="1"/>
  <c r="C131" i="12"/>
  <c r="AO131" i="12"/>
  <c r="O131" i="12"/>
  <c r="M131" i="12"/>
  <c r="E130" i="6"/>
  <c r="D130" i="12"/>
  <c r="B136" i="5"/>
  <c r="K136" i="5"/>
  <c r="W136" i="5"/>
  <c r="H136" i="12" s="1"/>
  <c r="D136" i="5"/>
  <c r="B136" i="12" s="1"/>
  <c r="J136" i="5"/>
  <c r="H136" i="5"/>
  <c r="R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AF137" i="5"/>
  <c r="X130" i="12" l="1"/>
  <c r="S137" i="5"/>
  <c r="F137" i="12" s="1"/>
  <c r="AG137" i="5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G135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R137" i="5"/>
  <c r="N137" i="5"/>
  <c r="AD137" i="5"/>
  <c r="E137" i="5"/>
  <c r="C138" i="5"/>
  <c r="AE137" i="5"/>
  <c r="F137" i="5"/>
  <c r="K137" i="5"/>
  <c r="A135" i="6"/>
  <c r="D131" i="12"/>
  <c r="E131" i="6"/>
  <c r="I133" i="12"/>
  <c r="AM133" i="5"/>
  <c r="L133" i="5"/>
  <c r="Z133" i="5"/>
  <c r="AC133" i="5"/>
  <c r="D136" i="6"/>
  <c r="J136" i="12"/>
  <c r="L136" i="12"/>
  <c r="E136" i="12"/>
  <c r="F136" i="6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AF138" i="5"/>
  <c r="W131" i="12" l="1"/>
  <c r="T131" i="12" s="1"/>
  <c r="N132" i="12"/>
  <c r="A136" i="6"/>
  <c r="AG138" i="5"/>
  <c r="S138" i="5"/>
  <c r="F138" i="12" s="1"/>
  <c r="Y132" i="12"/>
  <c r="W132" i="12" s="1"/>
  <c r="K136" i="12"/>
  <c r="G136" i="6"/>
  <c r="H136" i="6"/>
  <c r="T136" i="5" s="1"/>
  <c r="AA133" i="5"/>
  <c r="AB133" i="5"/>
  <c r="C133" i="6"/>
  <c r="O133" i="5"/>
  <c r="C133" i="12"/>
  <c r="AO133" i="12"/>
  <c r="O133" i="12"/>
  <c r="M133" i="12"/>
  <c r="R138" i="5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E132" i="6"/>
  <c r="D132" i="12"/>
  <c r="AM134" i="5"/>
  <c r="L134" i="5"/>
  <c r="I134" i="12"/>
  <c r="Z134" i="5"/>
  <c r="AC134" i="5"/>
  <c r="D137" i="6"/>
  <c r="E137" i="12"/>
  <c r="F137" i="6"/>
  <c r="L137" i="12"/>
  <c r="J137" i="12"/>
  <c r="M135" i="6"/>
  <c r="AB135" i="6" s="1"/>
  <c r="G135" i="12"/>
  <c r="X135" i="5"/>
  <c r="AF139" i="5"/>
  <c r="U131" i="12" l="1"/>
  <c r="V131" i="12"/>
  <c r="M136" i="6"/>
  <c r="AU136" i="6" s="1"/>
  <c r="X132" i="12"/>
  <c r="AG139" i="5"/>
  <c r="S139" i="5"/>
  <c r="F139" i="12" s="1"/>
  <c r="Y133" i="12"/>
  <c r="X133" i="12" s="1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K137" i="12"/>
  <c r="H137" i="6"/>
  <c r="T137" i="5" s="1"/>
  <c r="G137" i="6"/>
  <c r="C134" i="6"/>
  <c r="O134" i="5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F138" i="6"/>
  <c r="E138" i="12"/>
  <c r="N133" i="12"/>
  <c r="AF140" i="5"/>
  <c r="BC136" i="6" l="1"/>
  <c r="AB136" i="6"/>
  <c r="AK136" i="6"/>
  <c r="AM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S140" i="5"/>
  <c r="F140" i="12" s="1"/>
  <c r="AG140" i="5"/>
  <c r="A138" i="6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G138" i="6"/>
  <c r="H138" i="6"/>
  <c r="T138" i="5" s="1"/>
  <c r="D134" i="12"/>
  <c r="E134" i="6"/>
  <c r="G137" i="12"/>
  <c r="X137" i="5"/>
  <c r="AM136" i="5"/>
  <c r="I136" i="12"/>
  <c r="L136" i="5"/>
  <c r="Z136" i="5"/>
  <c r="AC136" i="5"/>
  <c r="Y134" i="12"/>
  <c r="AB135" i="5"/>
  <c r="AA135" i="5"/>
  <c r="C135" i="6"/>
  <c r="O135" i="5"/>
  <c r="AF141" i="5"/>
  <c r="T133" i="12" l="1"/>
  <c r="Y135" i="12"/>
  <c r="W135" i="12" s="1"/>
  <c r="U133" i="12"/>
  <c r="M138" i="6"/>
  <c r="AP138" i="6" s="1"/>
  <c r="K139" i="12"/>
  <c r="AG141" i="5"/>
  <c r="S141" i="5"/>
  <c r="F141" i="12" s="1"/>
  <c r="A139" i="6"/>
  <c r="D135" i="12"/>
  <c r="E135" i="6"/>
  <c r="X134" i="12"/>
  <c r="W134" i="12"/>
  <c r="C136" i="6"/>
  <c r="O136" i="5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B136" i="5"/>
  <c r="AA136" i="5"/>
  <c r="C136" i="12"/>
  <c r="O136" i="12"/>
  <c r="M136" i="12"/>
  <c r="AO136" i="12"/>
  <c r="AM137" i="5"/>
  <c r="I137" i="12"/>
  <c r="L137" i="5"/>
  <c r="Z137" i="5"/>
  <c r="AC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X135" i="12" l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S142" i="5"/>
  <c r="F142" i="12" s="1"/>
  <c r="AG142" i="5"/>
  <c r="G139" i="12"/>
  <c r="X139" i="5"/>
  <c r="V135" i="12"/>
  <c r="T135" i="12"/>
  <c r="U135" i="12"/>
  <c r="L138" i="5"/>
  <c r="I138" i="12"/>
  <c r="AM138" i="5"/>
  <c r="Z138" i="5"/>
  <c r="AC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D136" i="12"/>
  <c r="E136" i="6"/>
  <c r="U134" i="12"/>
  <c r="V134" i="12"/>
  <c r="T134" i="12"/>
  <c r="H140" i="6"/>
  <c r="T140" i="5" s="1"/>
  <c r="G140" i="6"/>
  <c r="AB137" i="5"/>
  <c r="AA137" i="5"/>
  <c r="C137" i="6"/>
  <c r="O137" i="5"/>
  <c r="A140" i="6"/>
  <c r="D141" i="6"/>
  <c r="E141" i="12"/>
  <c r="F141" i="6"/>
  <c r="AF143" i="5"/>
  <c r="AS139" i="6" l="1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AG143" i="5"/>
  <c r="S143" i="5"/>
  <c r="F143" i="12" s="1"/>
  <c r="K141" i="12"/>
  <c r="Y137" i="12"/>
  <c r="W137" i="12" s="1"/>
  <c r="G141" i="6"/>
  <c r="H141" i="6"/>
  <c r="T141" i="5" s="1"/>
  <c r="E137" i="6"/>
  <c r="D137" i="12"/>
  <c r="G140" i="12"/>
  <c r="X140" i="5"/>
  <c r="L142" i="12"/>
  <c r="J142" i="12"/>
  <c r="AA138" i="5"/>
  <c r="AB138" i="5"/>
  <c r="C138" i="6"/>
  <c r="O138" i="5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N137" i="12"/>
  <c r="C138" i="12"/>
  <c r="M138" i="12"/>
  <c r="O138" i="12"/>
  <c r="AO138" i="12"/>
  <c r="AF144" i="5"/>
  <c r="T136" i="12" l="1"/>
  <c r="U136" i="12"/>
  <c r="X137" i="12"/>
  <c r="M141" i="6"/>
  <c r="AU141" i="6" s="1"/>
  <c r="A142" i="6"/>
  <c r="M142" i="6" s="1"/>
  <c r="AQ142" i="6" s="1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AC140" i="5"/>
  <c r="Y138" i="12"/>
  <c r="H142" i="6"/>
  <c r="T142" i="5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AI141" i="6" l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AZ142" i="6"/>
  <c r="AM142" i="6"/>
  <c r="AX142" i="6"/>
  <c r="AN142" i="6"/>
  <c r="AS142" i="6"/>
  <c r="AO142" i="6"/>
  <c r="BD142" i="6"/>
  <c r="AR142" i="6"/>
  <c r="AY142" i="6"/>
  <c r="AG145" i="5"/>
  <c r="S145" i="5"/>
  <c r="F145" i="12" s="1"/>
  <c r="AJ142" i="6"/>
  <c r="AE142" i="6"/>
  <c r="AG142" i="6"/>
  <c r="AD142" i="6"/>
  <c r="BG142" i="6"/>
  <c r="BC142" i="6"/>
  <c r="AK142" i="6"/>
  <c r="AU142" i="6"/>
  <c r="AP142" i="6"/>
  <c r="AT142" i="6"/>
  <c r="BE142" i="6"/>
  <c r="AV142" i="6"/>
  <c r="BA142" i="6"/>
  <c r="BB142" i="6"/>
  <c r="BF142" i="6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AC142" i="6"/>
  <c r="AB142" i="6"/>
  <c r="AF142" i="6"/>
  <c r="AH142" i="6"/>
  <c r="AI142" i="6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Y140" i="12" l="1"/>
  <c r="X140" i="12" s="1"/>
  <c r="M143" i="6"/>
  <c r="BD143" i="6" s="1"/>
  <c r="A144" i="6"/>
  <c r="M144" i="6" s="1"/>
  <c r="AG146" i="5"/>
  <c r="S146" i="5"/>
  <c r="F146" i="12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C142" i="5"/>
  <c r="AF147" i="5"/>
  <c r="W140" i="12" l="1"/>
  <c r="AJ143" i="6"/>
  <c r="BB143" i="6"/>
  <c r="BF143" i="6"/>
  <c r="BA143" i="6"/>
  <c r="A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F144" i="6"/>
  <c r="AG147" i="5"/>
  <c r="S147" i="5"/>
  <c r="F147" i="12" s="1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V140" i="12"/>
  <c r="T140" i="12"/>
  <c r="U140" i="12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F148" i="5"/>
  <c r="S148" i="5" l="1"/>
  <c r="F148" i="12" s="1"/>
  <c r="AG148" i="5"/>
  <c r="A146" i="6"/>
  <c r="M146" i="6" s="1"/>
  <c r="AZ146" i="6" s="1"/>
  <c r="N142" i="12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N143" i="12" l="1"/>
  <c r="AF145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AD150" i="6" l="1"/>
  <c r="AF150" i="6"/>
  <c r="AY150" i="6"/>
  <c r="AU150" i="6"/>
  <c r="AH150" i="6"/>
  <c r="AC150" i="6"/>
  <c r="BA150" i="6"/>
  <c r="AV150" i="6"/>
  <c r="BG150" i="6"/>
  <c r="AB150" i="6"/>
  <c r="AP150" i="6"/>
  <c r="BC150" i="6"/>
  <c r="BD150" i="6"/>
  <c r="AS150" i="6"/>
  <c r="AE150" i="6"/>
  <c r="AJ150" i="6"/>
  <c r="AK150" i="6"/>
  <c r="AI150" i="6"/>
  <c r="AG150" i="6"/>
  <c r="AM150" i="6"/>
  <c r="AT150" i="6"/>
  <c r="AX150" i="6"/>
  <c r="BE150" i="6"/>
  <c r="AN150" i="6"/>
  <c r="AR150" i="6"/>
  <c r="BF150" i="6"/>
  <c r="AO150" i="6"/>
  <c r="BB150" i="6"/>
  <c r="AQ150" i="6"/>
  <c r="X147" i="12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R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AF155" i="5"/>
  <c r="N149" i="12" l="1"/>
  <c r="AM152" i="6"/>
  <c r="AP152" i="6"/>
  <c r="BE152" i="6"/>
  <c r="AG155" i="5"/>
  <c r="S155" i="5"/>
  <c r="F155" i="12" s="1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R155" i="5"/>
  <c r="D154" i="6"/>
  <c r="D149" i="12"/>
  <c r="E149" i="6"/>
  <c r="AM151" i="5"/>
  <c r="I151" i="12"/>
  <c r="L151" i="5"/>
  <c r="Z151" i="5"/>
  <c r="AC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E154" i="12"/>
  <c r="F154" i="6"/>
  <c r="K153" i="12"/>
  <c r="Y149" i="12"/>
  <c r="AF156" i="5"/>
  <c r="Y150" i="12" l="1"/>
  <c r="W150" i="12" s="1"/>
  <c r="AG156" i="5"/>
  <c r="S156" i="5"/>
  <c r="F156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R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I152" i="12"/>
  <c r="L152" i="5"/>
  <c r="AM152" i="5"/>
  <c r="Z152" i="5"/>
  <c r="AC152" i="5"/>
  <c r="C151" i="6"/>
  <c r="O151" i="5"/>
  <c r="E155" i="12"/>
  <c r="F155" i="6"/>
  <c r="J155" i="12"/>
  <c r="L155" i="12"/>
  <c r="G153" i="12"/>
  <c r="X153" i="5"/>
  <c r="AF157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G157" i="5"/>
  <c r="S157" i="5"/>
  <c r="F157" i="12" s="1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R157" i="5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G155" i="6"/>
  <c r="H155" i="6"/>
  <c r="T155" i="5" s="1"/>
  <c r="F156" i="6"/>
  <c r="E156" i="12"/>
  <c r="G154" i="12"/>
  <c r="X154" i="5"/>
  <c r="AF158" i="5"/>
  <c r="AV154" i="6" l="1"/>
  <c r="AP154" i="6"/>
  <c r="A156" i="6"/>
  <c r="X151" i="12"/>
  <c r="BD154" i="6"/>
  <c r="AK154" i="6"/>
  <c r="AI154" i="6"/>
  <c r="BG154" i="6"/>
  <c r="AZ154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R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C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G156" i="6"/>
  <c r="F157" i="6"/>
  <c r="E157" i="12"/>
  <c r="L157" i="12"/>
  <c r="J157" i="12"/>
  <c r="N152" i="12"/>
  <c r="AA153" i="5"/>
  <c r="AB153" i="5"/>
  <c r="C153" i="12"/>
  <c r="AO153" i="12"/>
  <c r="M153" i="12"/>
  <c r="O153" i="12"/>
  <c r="C153" i="6"/>
  <c r="O153" i="5"/>
  <c r="AF159" i="5"/>
  <c r="W152" i="12" l="1"/>
  <c r="U152" i="12" s="1"/>
  <c r="M156" i="6"/>
  <c r="AI156" i="6" s="1"/>
  <c r="AG159" i="5"/>
  <c r="S159" i="5"/>
  <c r="F159" i="12" s="1"/>
  <c r="N153" i="12"/>
  <c r="D153" i="12"/>
  <c r="E153" i="6"/>
  <c r="Y153" i="12"/>
  <c r="C154" i="6"/>
  <c r="O154" i="5"/>
  <c r="H157" i="6"/>
  <c r="T157" i="5" s="1"/>
  <c r="G157" i="6"/>
  <c r="L158" i="12"/>
  <c r="J158" i="12"/>
  <c r="D158" i="6"/>
  <c r="K157" i="12"/>
  <c r="G156" i="12"/>
  <c r="X156" i="5"/>
  <c r="L155" i="5"/>
  <c r="I155" i="12"/>
  <c r="AM155" i="5"/>
  <c r="Z155" i="5"/>
  <c r="AC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R159" i="5"/>
  <c r="J159" i="5"/>
  <c r="B159" i="6"/>
  <c r="B159" i="5"/>
  <c r="A159" i="12"/>
  <c r="K159" i="5"/>
  <c r="AD159" i="5"/>
  <c r="W159" i="5"/>
  <c r="H159" i="12" s="1"/>
  <c r="E159" i="5"/>
  <c r="F159" i="5"/>
  <c r="F158" i="6"/>
  <c r="E158" i="12"/>
  <c r="A157" i="6"/>
  <c r="AF160" i="5"/>
  <c r="V152" i="12" l="1"/>
  <c r="T152" i="12"/>
  <c r="BF156" i="6"/>
  <c r="AG156" i="6"/>
  <c r="AB156" i="6"/>
  <c r="AZ156" i="6"/>
  <c r="AP156" i="6"/>
  <c r="AR156" i="6"/>
  <c r="BG156" i="6"/>
  <c r="AH156" i="6"/>
  <c r="AM156" i="6"/>
  <c r="AT156" i="6"/>
  <c r="BE156" i="6"/>
  <c r="AN156" i="6"/>
  <c r="AX156" i="6"/>
  <c r="BB156" i="6"/>
  <c r="AE156" i="6"/>
  <c r="AY156" i="6"/>
  <c r="AS156" i="6"/>
  <c r="AQ156" i="6"/>
  <c r="BC156" i="6"/>
  <c r="AC156" i="6"/>
  <c r="AF156" i="6"/>
  <c r="AO156" i="6"/>
  <c r="BA156" i="6"/>
  <c r="BD156" i="6"/>
  <c r="AJ156" i="6"/>
  <c r="AU156" i="6"/>
  <c r="AV156" i="6"/>
  <c r="AD156" i="6"/>
  <c r="AK156" i="6"/>
  <c r="AG160" i="5"/>
  <c r="S160" i="5"/>
  <c r="F160" i="12" s="1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AC156" i="5"/>
  <c r="K158" i="12"/>
  <c r="J159" i="12"/>
  <c r="L159" i="12"/>
  <c r="E159" i="12"/>
  <c r="F159" i="6"/>
  <c r="D159" i="6"/>
  <c r="N154" i="12"/>
  <c r="AB155" i="5"/>
  <c r="AA155" i="5"/>
  <c r="C155" i="6"/>
  <c r="O155" i="5"/>
  <c r="H158" i="6"/>
  <c r="T158" i="5" s="1"/>
  <c r="G158" i="6"/>
  <c r="A158" i="6"/>
  <c r="G157" i="12"/>
  <c r="X157" i="5"/>
  <c r="E154" i="6"/>
  <c r="D154" i="12"/>
  <c r="X153" i="12"/>
  <c r="W153" i="12"/>
  <c r="AF161" i="5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AC157" i="5"/>
  <c r="M158" i="6"/>
  <c r="H159" i="6"/>
  <c r="T159" i="5" s="1"/>
  <c r="G159" i="6"/>
  <c r="K159" i="12"/>
  <c r="AA156" i="5"/>
  <c r="AB156" i="5"/>
  <c r="C156" i="12"/>
  <c r="AO156" i="12"/>
  <c r="O156" i="12"/>
  <c r="M156" i="12"/>
  <c r="C156" i="6"/>
  <c r="O156" i="5"/>
  <c r="V154" i="12"/>
  <c r="T154" i="12"/>
  <c r="E160" i="12"/>
  <c r="F160" i="6"/>
  <c r="J160" i="12"/>
  <c r="L160" i="12"/>
  <c r="D160" i="6"/>
  <c r="AF162" i="5"/>
  <c r="X155" i="12" l="1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AC158" i="5"/>
  <c r="H160" i="6"/>
  <c r="T160" i="5" s="1"/>
  <c r="G160" i="6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U155" i="12"/>
  <c r="V155" i="12"/>
  <c r="T155" i="12"/>
  <c r="AF163" i="5"/>
  <c r="K161" i="12" l="1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C159" i="5"/>
  <c r="F162" i="6"/>
  <c r="E162" i="12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AF164" i="5"/>
  <c r="W157" i="12" l="1"/>
  <c r="V157" i="12" s="1"/>
  <c r="AG164" i="5"/>
  <c r="S164" i="5"/>
  <c r="F164" i="12" s="1"/>
  <c r="A162" i="6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AC160" i="5"/>
  <c r="F163" i="6"/>
  <c r="E163" i="12"/>
  <c r="K162" i="12"/>
  <c r="AF165" i="5"/>
  <c r="U157" i="12" l="1"/>
  <c r="T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D159" i="12"/>
  <c r="E159" i="6"/>
  <c r="W158" i="12"/>
  <c r="X158" i="12"/>
  <c r="AF166" i="5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AG165" i="6"/>
  <c r="AD165" i="6"/>
  <c r="AF169" i="5"/>
  <c r="N163" i="12" l="1"/>
  <c r="W162" i="12"/>
  <c r="V162" i="12" s="1"/>
  <c r="A167" i="6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S171" i="5"/>
  <c r="F171" i="12" s="1"/>
  <c r="AG171" i="5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T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AF173" i="5"/>
  <c r="U165" i="12" l="1"/>
  <c r="V165" i="12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AF175" i="5"/>
  <c r="W168" i="12" l="1"/>
  <c r="U168" i="12" s="1"/>
  <c r="S175" i="5"/>
  <c r="F175" i="12" s="1"/>
  <c r="AG175" i="5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T168" i="12" l="1"/>
  <c r="V168" i="12"/>
  <c r="X169" i="12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AE178" i="6"/>
  <c r="AK178" i="6"/>
  <c r="AF182" i="5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S182" i="5"/>
  <c r="F182" i="12" s="1"/>
  <c r="AG182" i="5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F181" i="6"/>
  <c r="E181" i="12"/>
  <c r="J181" i="12"/>
  <c r="L181" i="12"/>
  <c r="D181" i="6"/>
  <c r="AB177" i="5"/>
  <c r="AA177" i="5"/>
  <c r="C177" i="6"/>
  <c r="O177" i="5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AD179" i="6"/>
  <c r="AE179" i="6"/>
  <c r="AF179" i="6"/>
  <c r="N176" i="12"/>
  <c r="AF183" i="5"/>
  <c r="T175" i="12" l="1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T176" i="12" l="1"/>
  <c r="N178" i="12"/>
  <c r="V176" i="12"/>
  <c r="A182" i="6"/>
  <c r="AG184" i="5"/>
  <c r="S184" i="5"/>
  <c r="F184" i="12" s="1"/>
  <c r="K182" i="12"/>
  <c r="X177" i="12"/>
  <c r="W177" i="12"/>
  <c r="AA179" i="5"/>
  <c r="AB179" i="5"/>
  <c r="C179" i="6"/>
  <c r="O179" i="5"/>
  <c r="M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M182" i="6" l="1"/>
  <c r="AP182" i="6" s="1"/>
  <c r="AG185" i="5"/>
  <c r="S185" i="5"/>
  <c r="F185" i="12" s="1"/>
  <c r="K183" i="12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AH182" i="6" l="1"/>
  <c r="AB182" i="6"/>
  <c r="AG182" i="6"/>
  <c r="BB182" i="6"/>
  <c r="BD182" i="6"/>
  <c r="AV182" i="6"/>
  <c r="BF182" i="6"/>
  <c r="AJ182" i="6"/>
  <c r="AK182" i="6"/>
  <c r="BE182" i="6"/>
  <c r="AZ182" i="6"/>
  <c r="AT182" i="6"/>
  <c r="AO182" i="6"/>
  <c r="AI182" i="6"/>
  <c r="BA182" i="6"/>
  <c r="AE182" i="6"/>
  <c r="AX182" i="6"/>
  <c r="AY182" i="6"/>
  <c r="BG182" i="6"/>
  <c r="BC182" i="6"/>
  <c r="AU182" i="6"/>
  <c r="AQ182" i="6"/>
  <c r="AC182" i="6"/>
  <c r="AD182" i="6"/>
  <c r="AN182" i="6"/>
  <c r="AS182" i="6"/>
  <c r="AF182" i="6"/>
  <c r="AM182" i="6"/>
  <c r="AR182" i="6"/>
  <c r="N180" i="12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A186" i="6" l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M186" i="6" l="1"/>
  <c r="AN186" i="6" s="1"/>
  <c r="A187" i="6"/>
  <c r="M187" i="6" s="1"/>
  <c r="AU187" i="6" s="1"/>
  <c r="AG189" i="5"/>
  <c r="S189" i="5"/>
  <c r="F189" i="12" s="1"/>
  <c r="N183" i="12"/>
  <c r="E183" i="6"/>
  <c r="D183" i="12"/>
  <c r="AA184" i="5"/>
  <c r="AB184" i="5"/>
  <c r="C184" i="6"/>
  <c r="O184" i="5"/>
  <c r="L188" i="12"/>
  <c r="J188" i="12"/>
  <c r="X182" i="12"/>
  <c r="W182" i="12"/>
  <c r="G186" i="12"/>
  <c r="X186" i="5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AC186" i="6" l="1"/>
  <c r="AD186" i="6"/>
  <c r="BF186" i="6"/>
  <c r="AF186" i="6"/>
  <c r="AT186" i="6"/>
  <c r="BD186" i="6"/>
  <c r="AG186" i="6"/>
  <c r="BE186" i="6"/>
  <c r="AX186" i="6"/>
  <c r="AQ186" i="6"/>
  <c r="AH186" i="6"/>
  <c r="BB186" i="6"/>
  <c r="AY186" i="6"/>
  <c r="BA186" i="6"/>
  <c r="AM186" i="6"/>
  <c r="AB186" i="6"/>
  <c r="AO186" i="6"/>
  <c r="BC186" i="6"/>
  <c r="AR186" i="6"/>
  <c r="AI186" i="6"/>
  <c r="AJ186" i="6"/>
  <c r="AP186" i="6"/>
  <c r="AS186" i="6"/>
  <c r="AU186" i="6"/>
  <c r="AK186" i="6"/>
  <c r="AZ186" i="6"/>
  <c r="AV186" i="6"/>
  <c r="AE186" i="6"/>
  <c r="BG186" i="6"/>
  <c r="Y184" i="12"/>
  <c r="W184" i="12" s="1"/>
  <c r="S190" i="5"/>
  <c r="F190" i="12" s="1"/>
  <c r="AG190" i="5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AC186" i="5"/>
  <c r="E184" i="6"/>
  <c r="D184" i="12"/>
  <c r="AF191" i="5"/>
  <c r="X184" i="12" l="1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6" i="12" l="1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T187" i="12" s="1"/>
  <c r="A192" i="6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U187" i="12" l="1"/>
  <c r="V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T188" i="12"/>
  <c r="V188" i="12"/>
  <c r="U188" i="12"/>
  <c r="C190" i="12"/>
  <c r="M190" i="12"/>
  <c r="AO190" i="12"/>
  <c r="O190" i="12"/>
  <c r="C190" i="6"/>
  <c r="O190" i="5"/>
  <c r="AF196" i="5"/>
  <c r="A194" i="6" l="1"/>
  <c r="M194" i="6" s="1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G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W190" i="12" l="1"/>
  <c r="U190" i="12" s="1"/>
  <c r="AG194" i="6"/>
  <c r="AP194" i="6"/>
  <c r="AS194" i="6"/>
  <c r="AR194" i="6"/>
  <c r="AH194" i="6"/>
  <c r="AT194" i="6"/>
  <c r="S197" i="5"/>
  <c r="F197" i="12" s="1"/>
  <c r="AG197" i="5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AF198" i="5"/>
  <c r="V190" i="12" l="1"/>
  <c r="T190" i="12"/>
  <c r="N192" i="12"/>
  <c r="AG198" i="5"/>
  <c r="S198" i="5"/>
  <c r="F198" i="12" s="1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V198" i="12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AF206" i="5"/>
  <c r="X199" i="12" l="1"/>
  <c r="U198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N201" i="12" l="1"/>
  <c r="AG203" i="6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X201" i="12" l="1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T205" i="12" s="1"/>
  <c r="Y206" i="12"/>
  <c r="W206" i="12" s="1"/>
  <c r="S212" i="5"/>
  <c r="F212" i="12" s="1"/>
  <c r="AG212" i="5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U205" i="12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V205" i="12" l="1"/>
  <c r="X206" i="12"/>
  <c r="AG213" i="5"/>
  <c r="S213" i="5"/>
  <c r="F213" i="12" s="1"/>
  <c r="A211" i="6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U206" i="12"/>
  <c r="T206" i="12"/>
  <c r="V206" i="12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M211" i="6" l="1"/>
  <c r="AT211" i="6" s="1"/>
  <c r="A212" i="6"/>
  <c r="M212" i="6" s="1"/>
  <c r="AR212" i="6" s="1"/>
  <c r="N208" i="12"/>
  <c r="W207" i="12"/>
  <c r="V207" i="12" s="1"/>
  <c r="AG214" i="5"/>
  <c r="S214" i="5"/>
  <c r="F214" i="12" s="1"/>
  <c r="Y208" i="12"/>
  <c r="X208" i="12" s="1"/>
  <c r="AM210" i="5"/>
  <c r="I210" i="12"/>
  <c r="L210" i="5"/>
  <c r="Z210" i="5"/>
  <c r="AC210" i="5"/>
  <c r="G211" i="12"/>
  <c r="X211" i="5"/>
  <c r="D213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AN211" i="6" l="1"/>
  <c r="AU211" i="6"/>
  <c r="AY211" i="6"/>
  <c r="AM211" i="6"/>
  <c r="AE211" i="6"/>
  <c r="BD211" i="6"/>
  <c r="AF211" i="6"/>
  <c r="BC211" i="6"/>
  <c r="AR211" i="6"/>
  <c r="AQ211" i="6"/>
  <c r="AI211" i="6"/>
  <c r="BF211" i="6"/>
  <c r="BB211" i="6"/>
  <c r="AD211" i="6"/>
  <c r="AZ211" i="6"/>
  <c r="AV211" i="6"/>
  <c r="BA211" i="6"/>
  <c r="AH211" i="6"/>
  <c r="AB211" i="6"/>
  <c r="AP211" i="6"/>
  <c r="AJ211" i="6"/>
  <c r="AX211" i="6"/>
  <c r="AO211" i="6"/>
  <c r="AC211" i="6"/>
  <c r="AG211" i="6"/>
  <c r="AK211" i="6"/>
  <c r="BG211" i="6"/>
  <c r="AS211" i="6"/>
  <c r="BE211" i="6"/>
  <c r="W208" i="12"/>
  <c r="U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V208" i="12" l="1"/>
  <c r="T208" i="12"/>
  <c r="N210" i="12"/>
  <c r="AG216" i="5"/>
  <c r="S216" i="5"/>
  <c r="F216" i="12" s="1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G221" i="5"/>
  <c r="S221" i="5"/>
  <c r="F221" i="12" s="1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F222" i="5"/>
  <c r="AM219" i="6" l="1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X220" i="12" l="1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X222" i="12" l="1"/>
  <c r="S229" i="5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X223" i="12"/>
  <c r="AG230" i="5"/>
  <c r="S230" i="5"/>
  <c r="F230" i="12" s="1"/>
  <c r="N224" i="12"/>
  <c r="K228" i="12"/>
  <c r="D224" i="12"/>
  <c r="E224" i="6"/>
  <c r="AB225" i="5"/>
  <c r="AA225" i="5"/>
  <c r="X224" i="12"/>
  <c r="W224" i="12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A229" i="6" l="1"/>
  <c r="M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T224" i="12"/>
  <c r="U224" i="12"/>
  <c r="V224" i="12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X225" i="12" l="1"/>
  <c r="A230" i="6"/>
  <c r="M230" i="6" s="1"/>
  <c r="AR230" i="6" s="1"/>
  <c r="AC229" i="6"/>
  <c r="AK229" i="6"/>
  <c r="AH229" i="6"/>
  <c r="AJ229" i="6"/>
  <c r="AG232" i="5"/>
  <c r="S232" i="5"/>
  <c r="F232" i="12" s="1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X226" i="12" l="1"/>
  <c r="A231" i="6"/>
  <c r="M231" i="6" s="1"/>
  <c r="AQ231" i="6" s="1"/>
  <c r="AO230" i="6"/>
  <c r="AM230" i="6"/>
  <c r="AS230" i="6"/>
  <c r="BB230" i="6"/>
  <c r="AU230" i="6"/>
  <c r="BD230" i="6"/>
  <c r="BE230" i="6"/>
  <c r="BF230" i="6"/>
  <c r="AG233" i="5"/>
  <c r="S233" i="5"/>
  <c r="F233" i="12" s="1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B230" i="6"/>
  <c r="AE230" i="6"/>
  <c r="AG230" i="6"/>
  <c r="AK230" i="6"/>
  <c r="AJ230" i="6"/>
  <c r="AF234" i="5"/>
  <c r="A232" i="6" l="1"/>
  <c r="M232" i="6" s="1"/>
  <c r="AM232" i="6" s="1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AF236" i="5"/>
  <c r="Y230" i="12" l="1"/>
  <c r="X230" i="12" s="1"/>
  <c r="X229" i="12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F235" i="6"/>
  <c r="E235" i="12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G234" i="6"/>
  <c r="H234" i="6"/>
  <c r="T234" i="5" s="1"/>
  <c r="K234" i="12"/>
  <c r="AF237" i="5"/>
  <c r="W230" i="12" l="1"/>
  <c r="U230" i="12" s="1"/>
  <c r="N231" i="12"/>
  <c r="M234" i="6"/>
  <c r="AY234" i="6" s="1"/>
  <c r="S237" i="5"/>
  <c r="F237" i="12" s="1"/>
  <c r="AG237" i="5"/>
  <c r="A235" i="6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F236" i="6"/>
  <c r="E236" i="12"/>
  <c r="C232" i="12"/>
  <c r="O232" i="12"/>
  <c r="AO232" i="12"/>
  <c r="M232" i="12"/>
  <c r="AF238" i="5"/>
  <c r="AN234" i="6" l="1"/>
  <c r="AE234" i="6"/>
  <c r="AM234" i="6"/>
  <c r="AH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AN238" i="6" l="1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U236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T236" i="12" l="1"/>
  <c r="S244" i="5"/>
  <c r="F244" i="12" s="1"/>
  <c r="AG244" i="5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M244" i="6" s="1"/>
  <c r="AU244" i="6" s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N241" i="12" l="1"/>
  <c r="BC244" i="6"/>
  <c r="AQ244" i="6"/>
  <c r="AM244" i="6"/>
  <c r="BG244" i="6"/>
  <c r="AT244" i="6"/>
  <c r="AO244" i="6"/>
  <c r="AY244" i="6"/>
  <c r="BD244" i="6"/>
  <c r="BA244" i="6"/>
  <c r="AP244" i="6"/>
  <c r="AI244" i="6"/>
  <c r="BF244" i="6"/>
  <c r="AS244" i="6"/>
  <c r="AZ244" i="6"/>
  <c r="AN244" i="6"/>
  <c r="AX244" i="6"/>
  <c r="BB244" i="6"/>
  <c r="AR244" i="6"/>
  <c r="AV244" i="6"/>
  <c r="AG247" i="5"/>
  <c r="S247" i="5"/>
  <c r="F247" i="12" s="1"/>
  <c r="BE244" i="6"/>
  <c r="AK244" i="6"/>
  <c r="AD244" i="6"/>
  <c r="AE244" i="6"/>
  <c r="K245" i="12"/>
  <c r="AC244" i="6"/>
  <c r="AB244" i="6"/>
  <c r="AF244" i="6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H244" i="6"/>
  <c r="AG244" i="6"/>
  <c r="AJ244" i="6"/>
  <c r="AJ243" i="6"/>
  <c r="AD243" i="6"/>
  <c r="AF248" i="5"/>
  <c r="S248" i="5" l="1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AF251" i="5"/>
  <c r="W244" i="12" l="1"/>
  <c r="U244" i="12" s="1"/>
  <c r="M248" i="6"/>
  <c r="BG248" i="6" s="1"/>
  <c r="A249" i="6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M249" i="6" l="1"/>
  <c r="BA249" i="6" s="1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AG252" i="5"/>
  <c r="S252" i="5"/>
  <c r="F252" i="12" s="1"/>
  <c r="Y246" i="12"/>
  <c r="X246" i="12" s="1"/>
  <c r="K250" i="12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E251" i="12"/>
  <c r="F251" i="6"/>
  <c r="J251" i="12"/>
  <c r="L251" i="12"/>
  <c r="E246" i="6"/>
  <c r="D246" i="12"/>
  <c r="A250" i="6"/>
  <c r="C247" i="12"/>
  <c r="AO247" i="12"/>
  <c r="O247" i="12"/>
  <c r="M247" i="12"/>
  <c r="AF253" i="5"/>
  <c r="AY249" i="6" l="1"/>
  <c r="AS249" i="6"/>
  <c r="AE249" i="6"/>
  <c r="AQ249" i="6"/>
  <c r="AB249" i="6"/>
  <c r="AR249" i="6"/>
  <c r="BF249" i="6"/>
  <c r="AT249" i="6"/>
  <c r="AU249" i="6"/>
  <c r="AH249" i="6"/>
  <c r="AJ249" i="6"/>
  <c r="BG249" i="6"/>
  <c r="AG249" i="6"/>
  <c r="AC249" i="6"/>
  <c r="AK249" i="6"/>
  <c r="AD249" i="6"/>
  <c r="AP249" i="6"/>
  <c r="BE249" i="6"/>
  <c r="AN249" i="6"/>
  <c r="AI249" i="6"/>
  <c r="AF249" i="6"/>
  <c r="AO249" i="6"/>
  <c r="BB249" i="6"/>
  <c r="AV249" i="6"/>
  <c r="AZ249" i="6"/>
  <c r="AX249" i="6"/>
  <c r="AM249" i="6"/>
  <c r="BC249" i="6"/>
  <c r="BD249" i="6"/>
  <c r="W246" i="12"/>
  <c r="T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M251" i="6" s="1"/>
  <c r="BE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V246" i="12" l="1"/>
  <c r="U246" i="12"/>
  <c r="A252" i="6"/>
  <c r="M252" i="6" s="1"/>
  <c r="BE252" i="6" s="1"/>
  <c r="S254" i="5"/>
  <c r="F254" i="12" s="1"/>
  <c r="AG254" i="5"/>
  <c r="AG251" i="6"/>
  <c r="AD251" i="6"/>
  <c r="AK251" i="6"/>
  <c r="AF251" i="6"/>
  <c r="BA251" i="6"/>
  <c r="AE251" i="6"/>
  <c r="AS251" i="6"/>
  <c r="AY251" i="6"/>
  <c r="AZ251" i="6"/>
  <c r="AT251" i="6"/>
  <c r="AX251" i="6"/>
  <c r="BD251" i="6"/>
  <c r="BG251" i="6"/>
  <c r="AN251" i="6"/>
  <c r="AC251" i="6"/>
  <c r="AR251" i="6"/>
  <c r="AU251" i="6"/>
  <c r="BC251" i="6"/>
  <c r="AI251" i="6"/>
  <c r="BF251" i="6"/>
  <c r="AV251" i="6"/>
  <c r="AM251" i="6"/>
  <c r="AJ251" i="6"/>
  <c r="AB251" i="6"/>
  <c r="AO251" i="6"/>
  <c r="BB251" i="6"/>
  <c r="AP251" i="6"/>
  <c r="AQ251" i="6"/>
  <c r="AH251" i="6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BD252" i="6" l="1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X249" i="12" l="1"/>
  <c r="A254" i="6"/>
  <c r="M254" i="6" s="1"/>
  <c r="AV254" i="6" s="1"/>
  <c r="Y250" i="12"/>
  <c r="W250" i="12" s="1"/>
  <c r="AG256" i="5"/>
  <c r="S256" i="5"/>
  <c r="F256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E255" i="12"/>
  <c r="F255" i="6"/>
  <c r="H254" i="6"/>
  <c r="T254" i="5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A255" i="6" l="1"/>
  <c r="X250" i="12"/>
  <c r="AG254" i="6"/>
  <c r="AH254" i="6"/>
  <c r="S257" i="5"/>
  <c r="F257" i="12" s="1"/>
  <c r="AG257" i="5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M255" i="6"/>
  <c r="AQ255" i="6" s="1"/>
  <c r="G255" i="6"/>
  <c r="D256" i="6"/>
  <c r="A256" i="6" s="1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Y252" i="12" l="1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S258" i="5"/>
  <c r="F258" i="12" s="1"/>
  <c r="AG258" i="5"/>
  <c r="AT255" i="6"/>
  <c r="AN255" i="6"/>
  <c r="BD255" i="6"/>
  <c r="AV255" i="6"/>
  <c r="AH255" i="6"/>
  <c r="AM255" i="6"/>
  <c r="N252" i="12"/>
  <c r="AB255" i="6"/>
  <c r="AK255" i="6"/>
  <c r="G255" i="12"/>
  <c r="X255" i="5"/>
  <c r="W252" i="12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G256" i="6"/>
  <c r="M256" i="6"/>
  <c r="BF256" i="6" s="1"/>
  <c r="H256" i="6"/>
  <c r="T256" i="5" s="1"/>
  <c r="AG255" i="6"/>
  <c r="AF255" i="6"/>
  <c r="AI255" i="6"/>
  <c r="AC255" i="6"/>
  <c r="AJ255" i="6"/>
  <c r="L254" i="5"/>
  <c r="I254" i="12"/>
  <c r="AM254" i="5"/>
  <c r="Z254" i="5"/>
  <c r="AC254" i="5"/>
  <c r="E257" i="12"/>
  <c r="F257" i="6"/>
  <c r="D257" i="6"/>
  <c r="A257" i="6" s="1"/>
  <c r="C253" i="12"/>
  <c r="AO253" i="12"/>
  <c r="O253" i="12"/>
  <c r="M253" i="12"/>
  <c r="AF259" i="5"/>
  <c r="T251" i="12" l="1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M257" i="6"/>
  <c r="BG257" i="6" s="1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V252" i="12"/>
  <c r="T252" i="12"/>
  <c r="U252" i="12"/>
  <c r="AF260" i="5"/>
  <c r="Y254" i="12" l="1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AF261" i="5"/>
  <c r="Y255" i="12" l="1"/>
  <c r="W255" i="12" s="1"/>
  <c r="W254" i="12"/>
  <c r="T254" i="12" s="1"/>
  <c r="K259" i="12"/>
  <c r="AG261" i="5"/>
  <c r="S261" i="5"/>
  <c r="F261" i="12" s="1"/>
  <c r="A259" i="6"/>
  <c r="C256" i="6"/>
  <c r="O256" i="5"/>
  <c r="M258" i="6"/>
  <c r="AD258" i="6" s="1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U254" i="12" l="1"/>
  <c r="V254" i="12"/>
  <c r="X255" i="12"/>
  <c r="N256" i="12"/>
  <c r="M259" i="6"/>
  <c r="AJ259" i="6" s="1"/>
  <c r="A260" i="6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261" i="6" l="1"/>
  <c r="AD259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M261" i="6"/>
  <c r="BA261" i="6" s="1"/>
  <c r="G260" i="12"/>
  <c r="X260" i="5"/>
  <c r="AA258" i="5"/>
  <c r="AB258" i="5"/>
  <c r="C258" i="12"/>
  <c r="M258" i="12"/>
  <c r="O258" i="12"/>
  <c r="AO258" i="12"/>
  <c r="C258" i="6"/>
  <c r="O258" i="5"/>
  <c r="AF264" i="5"/>
  <c r="BA260" i="6" l="1"/>
  <c r="AD260" i="6"/>
  <c r="AC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J45" i="5" l="1"/>
  <c r="K45" i="5"/>
  <c r="D45" i="5" s="1"/>
  <c r="K46" i="5"/>
  <c r="D46" i="5" s="1"/>
  <c r="J46" i="5"/>
  <c r="O18" i="5"/>
  <c r="E18" i="6" s="1"/>
  <c r="K28" i="5"/>
  <c r="J28" i="5"/>
  <c r="O19" i="5"/>
  <c r="E19" i="6" s="1"/>
  <c r="J29" i="5"/>
  <c r="K29" i="5"/>
  <c r="O20" i="5"/>
  <c r="E20" i="6" s="1"/>
  <c r="O21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B46" i="12" l="1"/>
  <c r="B45" i="12"/>
  <c r="D18" i="12"/>
  <c r="D28" i="5"/>
  <c r="B28" i="12" s="1"/>
  <c r="D29" i="5"/>
  <c r="B29" i="12" s="1"/>
  <c r="D19" i="12"/>
  <c r="D20" i="12"/>
  <c r="E21" i="6"/>
  <c r="D21" i="12"/>
  <c r="AO21" i="13"/>
  <c r="AL21" i="13"/>
  <c r="AL12" i="13"/>
  <c r="AO12" i="13"/>
  <c r="AO18" i="13"/>
  <c r="AL18" i="13"/>
  <c r="AO19" i="13"/>
  <c r="AL19" i="13"/>
  <c r="AO22" i="13"/>
  <c r="AL22" i="13"/>
  <c r="AO23" i="13"/>
  <c r="AL23" i="13"/>
  <c r="AO20" i="13"/>
  <c r="AL20" i="13"/>
  <c r="AO17" i="13"/>
  <c r="AL17" i="13"/>
  <c r="AO16" i="13"/>
  <c r="AL16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C15" i="13"/>
  <c r="B21" i="13"/>
  <c r="AH21" i="13" s="1"/>
  <c r="C17" i="13"/>
  <c r="G17" i="11"/>
  <c r="F17" i="13" s="1"/>
  <c r="AB17" i="11"/>
  <c r="N17" i="11" s="1"/>
  <c r="O17" i="11"/>
  <c r="AA17" i="11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AB18" i="11"/>
  <c r="N18" i="11" s="1"/>
  <c r="C18" i="13"/>
  <c r="G18" i="11"/>
  <c r="F18" i="13" s="1"/>
  <c r="O18" i="11"/>
  <c r="AA18" i="1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K16" i="11"/>
  <c r="J16" i="13" s="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AA12" i="11"/>
  <c r="C12" i="13"/>
  <c r="O12" i="11"/>
  <c r="K12" i="11"/>
  <c r="J12" i="13" s="1"/>
  <c r="G12" i="11"/>
  <c r="F12" i="13" s="1"/>
  <c r="AB12" i="11"/>
  <c r="N12" i="11" s="1"/>
  <c r="B17" i="13"/>
  <c r="AF17" i="13" s="1"/>
  <c r="B16" i="13"/>
  <c r="B15" i="13" l="1"/>
  <c r="X261" i="12"/>
  <c r="F1" i="8"/>
  <c r="B16" i="12"/>
  <c r="AJ16" i="13"/>
  <c r="AN16" i="13"/>
  <c r="AM16" i="13"/>
  <c r="AJ17" i="13"/>
  <c r="AN17" i="13"/>
  <c r="AM17" i="13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J18" i="13"/>
  <c r="AN18" i="13"/>
  <c r="AM18" i="13"/>
  <c r="AM12" i="13"/>
  <c r="AJ12" i="13"/>
  <c r="AJ21" i="13"/>
  <c r="AN21" i="13"/>
  <c r="AM21" i="13"/>
  <c r="AK16" i="13"/>
  <c r="AK17" i="13"/>
  <c r="AK20" i="13"/>
  <c r="AK23" i="13"/>
  <c r="AK22" i="13"/>
  <c r="AK19" i="13"/>
  <c r="AK18" i="13"/>
  <c r="AK12" i="13"/>
  <c r="AN12" i="13"/>
  <c r="AK21" i="13"/>
  <c r="E21" i="8"/>
  <c r="AE17" i="13"/>
  <c r="AC23" i="13"/>
  <c r="AC17" i="13"/>
  <c r="AD17" i="13"/>
  <c r="AH23" i="13"/>
  <c r="AD23" i="13"/>
  <c r="AE19" i="13"/>
  <c r="X32" i="5"/>
  <c r="X43" i="5"/>
  <c r="AC43" i="5" s="1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B22" i="12"/>
  <c r="X22" i="5"/>
  <c r="AC22" i="6" s="1"/>
  <c r="B74" i="12"/>
  <c r="Q1" i="8"/>
  <c r="R3" i="8"/>
  <c r="R19" i="8"/>
  <c r="P17" i="8"/>
  <c r="G265" i="12"/>
  <c r="X265" i="5"/>
  <c r="X74" i="5" s="1"/>
  <c r="AK265" i="6"/>
  <c r="AK15" i="6" s="1"/>
  <c r="Z15" i="6" s="1"/>
  <c r="AB265" i="6"/>
  <c r="AF265" i="6"/>
  <c r="AF15" i="6" s="1"/>
  <c r="U15" i="6" s="1"/>
  <c r="AA263" i="5"/>
  <c r="AB263" i="5"/>
  <c r="C263" i="12"/>
  <c r="AO263" i="12"/>
  <c r="O263" i="12"/>
  <c r="M263" i="12"/>
  <c r="C18" i="11"/>
  <c r="Z18" i="11"/>
  <c r="W18" i="11"/>
  <c r="L18" i="13"/>
  <c r="O18" i="13"/>
  <c r="S18" i="13"/>
  <c r="U18" i="13"/>
  <c r="T18" i="13"/>
  <c r="R18" i="13"/>
  <c r="M18" i="13"/>
  <c r="K18" i="13"/>
  <c r="L19" i="13"/>
  <c r="W19" i="11"/>
  <c r="C19" i="11"/>
  <c r="Z19" i="11"/>
  <c r="AC12" i="13"/>
  <c r="AF12" i="13"/>
  <c r="W17" i="11"/>
  <c r="L17" i="13"/>
  <c r="C17" i="11"/>
  <c r="Z17" i="11"/>
  <c r="AD21" i="13"/>
  <c r="AF21" i="13"/>
  <c r="K15" i="13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B17" i="12"/>
  <c r="B53" i="12"/>
  <c r="X53" i="5"/>
  <c r="I66" i="12"/>
  <c r="O66" i="12" s="1"/>
  <c r="AM66" i="5"/>
  <c r="L66" i="5"/>
  <c r="Z66" i="5"/>
  <c r="AC66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C22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C24" i="10"/>
  <c r="A62" i="9"/>
  <c r="C58" i="9"/>
  <c r="A28" i="10"/>
  <c r="C47" i="10"/>
  <c r="A31" i="10"/>
  <c r="C27" i="9"/>
  <c r="A59" i="9"/>
  <c r="A32" i="9"/>
  <c r="C20" i="9"/>
  <c r="C35" i="9"/>
  <c r="C16" i="10"/>
  <c r="C39" i="9"/>
  <c r="A56" i="10"/>
  <c r="C31" i="10"/>
  <c r="C52" i="10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C21" i="10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C24" i="9"/>
  <c r="A40" i="10"/>
  <c r="A41" i="10"/>
  <c r="A54" i="9"/>
  <c r="A20" i="10"/>
  <c r="C36" i="9"/>
  <c r="C23" i="10"/>
  <c r="A49" i="10"/>
  <c r="A58" i="10"/>
  <c r="A34" i="10"/>
  <c r="A41" i="9"/>
  <c r="A23" i="10"/>
  <c r="A39" i="9"/>
  <c r="A20" i="9"/>
  <c r="C51" i="9"/>
  <c r="C22" i="10"/>
  <c r="A28" i="9"/>
  <c r="A1" i="10"/>
  <c r="C45" i="9"/>
  <c r="C54" i="10"/>
  <c r="A38" i="10"/>
  <c r="A43" i="10"/>
  <c r="C21" i="9"/>
  <c r="A44" i="9"/>
  <c r="C19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C23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C20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A17" i="10"/>
  <c r="A22" i="9"/>
  <c r="C61" i="9"/>
  <c r="A48" i="10"/>
  <c r="C19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BB265" i="6"/>
  <c r="AE15" i="13" s="1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U17" i="13"/>
  <c r="R17" i="13"/>
  <c r="T17" i="13"/>
  <c r="M17" i="13"/>
  <c r="O17" i="13"/>
  <c r="S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AC32" i="6" l="1"/>
  <c r="AC15" i="6" s="1"/>
  <c r="R15" i="6" s="1"/>
  <c r="AB32" i="6"/>
  <c r="AH16" i="13"/>
  <c r="O16" i="13" s="1"/>
  <c r="X46" i="5"/>
  <c r="X45" i="5"/>
  <c r="AE16" i="13"/>
  <c r="M16" i="13" s="1"/>
  <c r="AH15" i="13"/>
  <c r="I22" i="5"/>
  <c r="I23" i="5" s="1"/>
  <c r="AB22" i="6"/>
  <c r="L43" i="5"/>
  <c r="C43" i="6" s="1"/>
  <c r="I43" i="12"/>
  <c r="O43" i="12" s="1"/>
  <c r="L32" i="5"/>
  <c r="C32" i="6" s="1"/>
  <c r="AM32" i="5"/>
  <c r="AO66" i="12"/>
  <c r="Y66" i="12" s="1"/>
  <c r="X17" i="5"/>
  <c r="AM17" i="5" s="1"/>
  <c r="L20" i="8"/>
  <c r="E24" i="8" s="1"/>
  <c r="I23" i="8" s="1"/>
  <c r="M66" i="12"/>
  <c r="N66" i="12" s="1"/>
  <c r="AA66" i="5"/>
  <c r="AB66" i="5"/>
  <c r="AM43" i="5"/>
  <c r="I32" i="12"/>
  <c r="C32" i="12" s="1"/>
  <c r="Z43" i="5"/>
  <c r="Z32" i="5"/>
  <c r="AH14" i="13"/>
  <c r="AE14" i="13"/>
  <c r="Y263" i="12"/>
  <c r="X263" i="12" s="1"/>
  <c r="W262" i="12"/>
  <c r="X262" i="12"/>
  <c r="L43" i="12"/>
  <c r="J43" i="12"/>
  <c r="D263" i="12"/>
  <c r="E263" i="6"/>
  <c r="C264" i="6"/>
  <c r="O264" i="5"/>
  <c r="P12" i="13"/>
  <c r="N12" i="13"/>
  <c r="D20" i="13"/>
  <c r="D19" i="13"/>
  <c r="D18" i="13"/>
  <c r="L74" i="5"/>
  <c r="I74" i="12"/>
  <c r="AM74" i="5"/>
  <c r="Z74" i="5"/>
  <c r="AC74" i="5"/>
  <c r="I22" i="12"/>
  <c r="AM22" i="5"/>
  <c r="L22" i="5"/>
  <c r="Z22" i="5"/>
  <c r="D22" i="13"/>
  <c r="P23" i="13"/>
  <c r="N23" i="13"/>
  <c r="P17" i="13"/>
  <c r="N17" i="13"/>
  <c r="P19" i="13"/>
  <c r="N19" i="13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AC53" i="5"/>
  <c r="D21" i="13"/>
  <c r="N22" i="13"/>
  <c r="P22" i="13"/>
  <c r="J32" i="12"/>
  <c r="L32" i="12"/>
  <c r="N20" i="13"/>
  <c r="P20" i="13"/>
  <c r="D23" i="13"/>
  <c r="D17" i="13"/>
  <c r="P18" i="13"/>
  <c r="N18" i="13"/>
  <c r="N263" i="12"/>
  <c r="L265" i="5"/>
  <c r="I265" i="12"/>
  <c r="AM265" i="5"/>
  <c r="Z265" i="5"/>
  <c r="AC265" i="5"/>
  <c r="X16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N21" i="13"/>
  <c r="P21" i="13"/>
  <c r="D12" i="13"/>
  <c r="V12" i="13"/>
  <c r="AB15" i="6" l="1"/>
  <c r="Q15" i="6" s="1"/>
  <c r="I24" i="5"/>
  <c r="I25" i="5" s="1"/>
  <c r="I26" i="5" s="1"/>
  <c r="I27" i="5" s="1"/>
  <c r="I28" i="5" s="1"/>
  <c r="I29" i="5" s="1"/>
  <c r="I30" i="5" s="1"/>
  <c r="O30" i="5" s="1"/>
  <c r="O23" i="5"/>
  <c r="X15" i="5"/>
  <c r="I15" i="12" s="1"/>
  <c r="X29" i="5"/>
  <c r="L29" i="5" s="1"/>
  <c r="X28" i="5"/>
  <c r="R17" i="8" s="1"/>
  <c r="F17" i="8" s="1"/>
  <c r="O43" i="5"/>
  <c r="D43" i="12" s="1"/>
  <c r="N16" i="13"/>
  <c r="M43" i="12"/>
  <c r="N43" i="12" s="1"/>
  <c r="C43" i="12"/>
  <c r="L45" i="5"/>
  <c r="I45" i="12"/>
  <c r="AM45" i="5"/>
  <c r="Z45" i="5"/>
  <c r="AC45" i="5"/>
  <c r="O16" i="11"/>
  <c r="R20" i="8" s="1"/>
  <c r="I46" i="12"/>
  <c r="L46" i="5"/>
  <c r="Z46" i="5"/>
  <c r="AC46" i="5"/>
  <c r="AM46" i="5"/>
  <c r="AO43" i="12"/>
  <c r="Y43" i="12" s="1"/>
  <c r="W43" i="12" s="1"/>
  <c r="U43" i="12" s="1"/>
  <c r="Z17" i="5"/>
  <c r="I17" i="12"/>
  <c r="C17" i="12" s="1"/>
  <c r="L17" i="5"/>
  <c r="O17" i="5" s="1"/>
  <c r="M53" i="12"/>
  <c r="P20" i="8"/>
  <c r="R22" i="8"/>
  <c r="O20" i="8"/>
  <c r="O53" i="12"/>
  <c r="L23" i="8"/>
  <c r="R23" i="8"/>
  <c r="AB53" i="5"/>
  <c r="AA53" i="5"/>
  <c r="AB43" i="5"/>
  <c r="AA43" i="5"/>
  <c r="AB32" i="5"/>
  <c r="AO32" i="12"/>
  <c r="M32" i="12"/>
  <c r="O32" i="12"/>
  <c r="AO22" i="12"/>
  <c r="AB22" i="5"/>
  <c r="W263" i="12"/>
  <c r="U263" i="12" s="1"/>
  <c r="K32" i="12"/>
  <c r="K43" i="12"/>
  <c r="Y264" i="12"/>
  <c r="X264" i="12" s="1"/>
  <c r="I16" i="12"/>
  <c r="Z16" i="5"/>
  <c r="L16" i="5"/>
  <c r="AM16" i="5"/>
  <c r="O14" i="11"/>
  <c r="R14" i="8"/>
  <c r="AA265" i="5"/>
  <c r="AA74" i="5" s="1"/>
  <c r="AB265" i="5"/>
  <c r="C265" i="12"/>
  <c r="AO265" i="12"/>
  <c r="O265" i="12"/>
  <c r="M265" i="12"/>
  <c r="C53" i="12"/>
  <c r="J53" i="12"/>
  <c r="L53" i="12"/>
  <c r="D66" i="12"/>
  <c r="E66" i="6"/>
  <c r="X66" i="12"/>
  <c r="W66" i="12"/>
  <c r="M17" i="8"/>
  <c r="M14" i="8"/>
  <c r="Q14" i="8" s="1"/>
  <c r="C74" i="12"/>
  <c r="J74" i="12"/>
  <c r="L74" i="12"/>
  <c r="E264" i="6"/>
  <c r="D264" i="12"/>
  <c r="C265" i="6"/>
  <c r="O265" i="5"/>
  <c r="C53" i="6"/>
  <c r="O53" i="5"/>
  <c r="K66" i="12"/>
  <c r="N264" i="12"/>
  <c r="C22" i="6"/>
  <c r="O22" i="5"/>
  <c r="C22" i="12"/>
  <c r="J22" i="12"/>
  <c r="M22" i="12" s="1"/>
  <c r="L22" i="12"/>
  <c r="O22" i="12" s="1"/>
  <c r="C74" i="6"/>
  <c r="O74" i="5"/>
  <c r="T262" i="12"/>
  <c r="U262" i="12"/>
  <c r="V262" i="12"/>
  <c r="Q73" i="10" l="1"/>
  <c r="Q72" i="10" s="1"/>
  <c r="I73" i="10"/>
  <c r="I72" i="10" s="1"/>
  <c r="AE9" i="10" s="1"/>
  <c r="W73" i="10"/>
  <c r="W72" i="10" s="1"/>
  <c r="O73" i="10"/>
  <c r="O24" i="5"/>
  <c r="D24" i="12" s="1"/>
  <c r="E43" i="6"/>
  <c r="I31" i="5"/>
  <c r="I32" i="5" s="1"/>
  <c r="E23" i="6"/>
  <c r="D23" i="12"/>
  <c r="AC73" i="10"/>
  <c r="Y73" i="10"/>
  <c r="Y72" i="10" s="1"/>
  <c r="AE73" i="10"/>
  <c r="S73" i="10"/>
  <c r="S72" i="10" s="1"/>
  <c r="AA73" i="10"/>
  <c r="AA72" i="10" s="1"/>
  <c r="U73" i="10"/>
  <c r="K73" i="10"/>
  <c r="K71" i="10" s="1"/>
  <c r="K70" i="10" s="1"/>
  <c r="M73" i="10"/>
  <c r="Z15" i="5"/>
  <c r="AM15" i="5"/>
  <c r="Z29" i="5"/>
  <c r="I29" i="12"/>
  <c r="L29" i="12" s="1"/>
  <c r="AM29" i="5"/>
  <c r="O15" i="11"/>
  <c r="W15" i="11" s="1"/>
  <c r="I28" i="12"/>
  <c r="L28" i="12" s="1"/>
  <c r="Z28" i="5"/>
  <c r="L28" i="5"/>
  <c r="C28" i="6" s="1"/>
  <c r="AM28" i="5"/>
  <c r="F20" i="8"/>
  <c r="F21" i="8"/>
  <c r="T43" i="12"/>
  <c r="V43" i="12"/>
  <c r="L46" i="12"/>
  <c r="J46" i="12"/>
  <c r="C46" i="12"/>
  <c r="C46" i="6"/>
  <c r="O46" i="5"/>
  <c r="C16" i="11"/>
  <c r="W16" i="11"/>
  <c r="L16" i="13"/>
  <c r="AA46" i="5"/>
  <c r="AA45" i="5"/>
  <c r="J45" i="12"/>
  <c r="L45" i="12"/>
  <c r="C45" i="12"/>
  <c r="Y53" i="12"/>
  <c r="X53" i="12" s="1"/>
  <c r="C45" i="6"/>
  <c r="O45" i="5"/>
  <c r="D30" i="12"/>
  <c r="E30" i="6"/>
  <c r="L15" i="13"/>
  <c r="X43" i="12"/>
  <c r="W264" i="12"/>
  <c r="T264" i="12" s="1"/>
  <c r="F18" i="8"/>
  <c r="O29" i="5"/>
  <c r="C29" i="6"/>
  <c r="T263" i="12"/>
  <c r="V263" i="12"/>
  <c r="N22" i="12"/>
  <c r="Y22" i="12"/>
  <c r="W22" i="12" s="1"/>
  <c r="U22" i="12" s="1"/>
  <c r="J17" i="12"/>
  <c r="N53" i="12"/>
  <c r="C17" i="6"/>
  <c r="L17" i="12"/>
  <c r="M74" i="12"/>
  <c r="M15" i="12"/>
  <c r="J15" i="12" s="1"/>
  <c r="F24" i="8"/>
  <c r="F23" i="8"/>
  <c r="O23" i="8"/>
  <c r="E27" i="8"/>
  <c r="H26" i="8" s="1"/>
  <c r="R25" i="8"/>
  <c r="P23" i="8"/>
  <c r="M17" i="12"/>
  <c r="N32" i="12"/>
  <c r="Y32" i="12"/>
  <c r="K74" i="12"/>
  <c r="Y265" i="12"/>
  <c r="W265" i="12" s="1"/>
  <c r="D22" i="12"/>
  <c r="E22" i="6"/>
  <c r="E16" i="8"/>
  <c r="T66" i="12"/>
  <c r="V66" i="12"/>
  <c r="U66" i="12"/>
  <c r="AB74" i="5"/>
  <c r="AB17" i="5" s="1"/>
  <c r="G15" i="8"/>
  <c r="F15" i="8"/>
  <c r="F14" i="8"/>
  <c r="O16" i="5"/>
  <c r="C16" i="6"/>
  <c r="L16" i="12"/>
  <c r="C16" i="12"/>
  <c r="J16" i="12"/>
  <c r="D74" i="12"/>
  <c r="E74" i="6"/>
  <c r="K22" i="12"/>
  <c r="M16" i="12"/>
  <c r="E53" i="6"/>
  <c r="D53" i="12"/>
  <c r="D17" i="12"/>
  <c r="E17" i="6"/>
  <c r="D265" i="12"/>
  <c r="E265" i="6"/>
  <c r="AO74" i="12"/>
  <c r="K53" i="12"/>
  <c r="N265" i="12"/>
  <c r="O74" i="12"/>
  <c r="O15" i="12" s="1"/>
  <c r="L14" i="13"/>
  <c r="C14" i="11"/>
  <c r="W14" i="11"/>
  <c r="O31" i="5" l="1"/>
  <c r="D31" i="12" s="1"/>
  <c r="Q71" i="10"/>
  <c r="Q70" i="10" s="1"/>
  <c r="O71" i="10"/>
  <c r="O70" i="10" s="1"/>
  <c r="I71" i="10"/>
  <c r="I70" i="10" s="1"/>
  <c r="Y9" i="10" s="1"/>
  <c r="O72" i="10"/>
  <c r="E24" i="6"/>
  <c r="C29" i="12"/>
  <c r="AE71" i="10"/>
  <c r="AE70" i="10" s="1"/>
  <c r="J29" i="12"/>
  <c r="K29" i="12" s="1"/>
  <c r="U71" i="10"/>
  <c r="U70" i="10" s="1"/>
  <c r="C15" i="11"/>
  <c r="AC71" i="10"/>
  <c r="AC70" i="10" s="1"/>
  <c r="Y71" i="10"/>
  <c r="Y70" i="10" s="1"/>
  <c r="AC72" i="10"/>
  <c r="W71" i="10"/>
  <c r="W70" i="10" s="1"/>
  <c r="M72" i="10"/>
  <c r="AA71" i="10"/>
  <c r="AA70" i="10" s="1"/>
  <c r="K72" i="10"/>
  <c r="O28" i="5"/>
  <c r="H17" i="8" s="1"/>
  <c r="M71" i="10"/>
  <c r="M70" i="10" s="1"/>
  <c r="C28" i="12"/>
  <c r="O24" i="11"/>
  <c r="AA7" i="11" s="1"/>
  <c r="U72" i="10"/>
  <c r="AE72" i="10"/>
  <c r="J28" i="12"/>
  <c r="K28" i="12" s="1"/>
  <c r="S71" i="10"/>
  <c r="S70" i="10" s="1"/>
  <c r="I33" i="5"/>
  <c r="O32" i="5"/>
  <c r="E31" i="6"/>
  <c r="W53" i="12"/>
  <c r="T53" i="12" s="1"/>
  <c r="AB46" i="5"/>
  <c r="M46" i="12"/>
  <c r="M45" i="12"/>
  <c r="AA16" i="11"/>
  <c r="AF16" i="13"/>
  <c r="AC16" i="13"/>
  <c r="D45" i="12"/>
  <c r="E45" i="6"/>
  <c r="P16" i="13"/>
  <c r="D16" i="13"/>
  <c r="O46" i="12"/>
  <c r="O45" i="12"/>
  <c r="AO16" i="12"/>
  <c r="AO45" i="12"/>
  <c r="AO46" i="12"/>
  <c r="E46" i="6"/>
  <c r="D46" i="12"/>
  <c r="K45" i="12"/>
  <c r="AB45" i="5"/>
  <c r="K46" i="12"/>
  <c r="V264" i="12"/>
  <c r="U264" i="12"/>
  <c r="D15" i="13"/>
  <c r="H20" i="8"/>
  <c r="H23" i="8"/>
  <c r="E29" i="6"/>
  <c r="D29" i="12"/>
  <c r="T22" i="12"/>
  <c r="V22" i="12"/>
  <c r="X22" i="12"/>
  <c r="K17" i="12"/>
  <c r="AB16" i="5"/>
  <c r="AG14" i="13" s="1"/>
  <c r="L15" i="12"/>
  <c r="K15" i="12" s="1"/>
  <c r="N10" i="12"/>
  <c r="N15" i="12"/>
  <c r="AL14" i="13"/>
  <c r="M14" i="13" s="1"/>
  <c r="I26" i="8"/>
  <c r="R26" i="8"/>
  <c r="L26" i="8"/>
  <c r="N74" i="12"/>
  <c r="O16" i="12"/>
  <c r="O17" i="12"/>
  <c r="N17" i="12" s="1"/>
  <c r="AO17" i="12"/>
  <c r="W32" i="12"/>
  <c r="X32" i="12"/>
  <c r="X265" i="12"/>
  <c r="V265" i="12"/>
  <c r="U265" i="12"/>
  <c r="T265" i="12"/>
  <c r="L28" i="13"/>
  <c r="V14" i="13"/>
  <c r="D14" i="13"/>
  <c r="Y74" i="12"/>
  <c r="K16" i="12"/>
  <c r="D16" i="12"/>
  <c r="E16" i="6"/>
  <c r="H14" i="8"/>
  <c r="R16" i="13" l="1"/>
  <c r="AD14" i="13"/>
  <c r="D28" i="12"/>
  <c r="T16" i="13"/>
  <c r="E28" i="6"/>
  <c r="U53" i="12"/>
  <c r="AB28" i="5"/>
  <c r="AB15" i="11" s="1"/>
  <c r="N15" i="11" s="1"/>
  <c r="V53" i="12"/>
  <c r="AO28" i="12"/>
  <c r="M29" i="12"/>
  <c r="O25" i="11"/>
  <c r="D32" i="12"/>
  <c r="E32" i="6"/>
  <c r="O33" i="5"/>
  <c r="I34" i="5"/>
  <c r="N45" i="12"/>
  <c r="AB15" i="5"/>
  <c r="AB29" i="5"/>
  <c r="N46" i="12"/>
  <c r="M28" i="12"/>
  <c r="AL15" i="13" s="1"/>
  <c r="M15" i="13" s="1"/>
  <c r="M28" i="13" s="1"/>
  <c r="AO29" i="12"/>
  <c r="O28" i="12"/>
  <c r="AO15" i="13" s="1"/>
  <c r="O15" i="13" s="1"/>
  <c r="Y46" i="12"/>
  <c r="W46" i="12" s="1"/>
  <c r="O29" i="12"/>
  <c r="Y45" i="12"/>
  <c r="W45" i="12" s="1"/>
  <c r="AB16" i="11"/>
  <c r="N16" i="11" s="1"/>
  <c r="AG16" i="13"/>
  <c r="AD16" i="13"/>
  <c r="AK14" i="13"/>
  <c r="C14" i="8"/>
  <c r="P26" i="8"/>
  <c r="M20" i="8"/>
  <c r="AD15" i="13"/>
  <c r="AG15" i="13"/>
  <c r="AB14" i="11"/>
  <c r="Y16" i="12"/>
  <c r="X16" i="12" s="1"/>
  <c r="AO14" i="13"/>
  <c r="O14" i="13" s="1"/>
  <c r="AN14" i="13"/>
  <c r="U14" i="13" s="1"/>
  <c r="O26" i="8"/>
  <c r="Y17" i="12"/>
  <c r="X17" i="12" s="1"/>
  <c r="E30" i="8"/>
  <c r="M23" i="8"/>
  <c r="R28" i="8"/>
  <c r="G26" i="8"/>
  <c r="I27" i="8" s="1"/>
  <c r="G27" i="8"/>
  <c r="F26" i="8"/>
  <c r="F27" i="8"/>
  <c r="N16" i="12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D33" i="14"/>
  <c r="L24" i="13"/>
  <c r="AN15" i="13" l="1"/>
  <c r="U15" i="13" s="1"/>
  <c r="AK15" i="13"/>
  <c r="S15" i="13" s="1"/>
  <c r="S14" i="13"/>
  <c r="N29" i="12"/>
  <c r="O34" i="5"/>
  <c r="I35" i="5"/>
  <c r="X46" i="12"/>
  <c r="D33" i="12"/>
  <c r="E33" i="6"/>
  <c r="X45" i="12"/>
  <c r="S16" i="13"/>
  <c r="N28" i="12"/>
  <c r="U16" i="13"/>
  <c r="Y28" i="12"/>
  <c r="W28" i="12" s="1"/>
  <c r="Y29" i="12"/>
  <c r="W29" i="12" s="1"/>
  <c r="Z16" i="11"/>
  <c r="T46" i="12"/>
  <c r="U46" i="12"/>
  <c r="V46" i="12"/>
  <c r="T45" i="12"/>
  <c r="V45" i="12"/>
  <c r="U45" i="12"/>
  <c r="O29" i="13"/>
  <c r="M24" i="13"/>
  <c r="N15" i="13"/>
  <c r="P15" i="13"/>
  <c r="AB24" i="11"/>
  <c r="AB7" i="11" s="1"/>
  <c r="Z3" i="11" s="1"/>
  <c r="W16" i="12"/>
  <c r="V16" i="12" s="1"/>
  <c r="W17" i="12"/>
  <c r="T17" i="12" s="1"/>
  <c r="N14" i="11"/>
  <c r="N24" i="11" s="1"/>
  <c r="N25" i="11" s="1"/>
  <c r="O28" i="13"/>
  <c r="N14" i="13"/>
  <c r="P14" i="13"/>
  <c r="L29" i="8"/>
  <c r="O29" i="8" s="1"/>
  <c r="H29" i="8"/>
  <c r="I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K6" i="14" s="1"/>
  <c r="L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M27" i="13" l="1"/>
  <c r="X28" i="12"/>
  <c r="O35" i="5"/>
  <c r="I36" i="5"/>
  <c r="D34" i="12"/>
  <c r="E34" i="6"/>
  <c r="X29" i="12"/>
  <c r="AD4" i="13"/>
  <c r="U28" i="12"/>
  <c r="V28" i="12"/>
  <c r="T28" i="12"/>
  <c r="V29" i="12"/>
  <c r="T29" i="12"/>
  <c r="U29" i="12"/>
  <c r="AA19" i="5"/>
  <c r="L27" i="13"/>
  <c r="D32" i="14" s="1"/>
  <c r="T16" i="12"/>
  <c r="U16" i="12"/>
  <c r="U17" i="12"/>
  <c r="V17" i="12"/>
  <c r="F30" i="8"/>
  <c r="F33" i="14"/>
  <c r="N28" i="13"/>
  <c r="AD6" i="13"/>
  <c r="P24" i="13"/>
  <c r="O24" i="13"/>
  <c r="P29" i="8"/>
  <c r="G29" i="8"/>
  <c r="I30" i="8" s="1"/>
  <c r="G30" i="8"/>
  <c r="E33" i="8"/>
  <c r="M26" i="8"/>
  <c r="R31" i="8"/>
  <c r="I37" i="5" l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36" i="5"/>
  <c r="E35" i="6"/>
  <c r="D35" i="12"/>
  <c r="AE4" i="13"/>
  <c r="O27" i="13" s="1"/>
  <c r="N27" i="13" s="1"/>
  <c r="E32" i="14" s="1"/>
  <c r="AA20" i="5"/>
  <c r="AC27" i="13"/>
  <c r="AD27" i="13"/>
  <c r="E33" i="14"/>
  <c r="N24" i="13"/>
  <c r="E34" i="14"/>
  <c r="F34" i="14"/>
  <c r="AE6" i="13"/>
  <c r="I32" i="8"/>
  <c r="R32" i="8"/>
  <c r="F32" i="8" s="1"/>
  <c r="L32" i="8"/>
  <c r="O32" i="8" s="1"/>
  <c r="H32" i="8"/>
  <c r="F32" i="14" l="1"/>
  <c r="E36" i="6"/>
  <c r="D36" i="12"/>
  <c r="AA21" i="5"/>
  <c r="P32" i="8"/>
  <c r="F33" i="8"/>
  <c r="R34" i="8"/>
  <c r="M29" i="8"/>
  <c r="E36" i="8"/>
  <c r="G33" i="8"/>
  <c r="G32" i="8"/>
  <c r="I33" i="8" s="1"/>
  <c r="AA22" i="5" l="1"/>
  <c r="I35" i="8"/>
  <c r="H35" i="8"/>
  <c r="R35" i="8"/>
  <c r="F36" i="8" s="1"/>
  <c r="L35" i="8"/>
  <c r="O35" i="8" s="1"/>
  <c r="AA36" i="5" l="1"/>
  <c r="P35" i="8"/>
  <c r="F35" i="8"/>
  <c r="R37" i="8"/>
  <c r="M32" i="8"/>
  <c r="E39" i="8"/>
  <c r="G36" i="8"/>
  <c r="G35" i="8"/>
  <c r="I36" i="8" s="1"/>
  <c r="H38" i="8" l="1"/>
  <c r="L38" i="8"/>
  <c r="N38" i="8" s="1"/>
  <c r="I38" i="8"/>
  <c r="R38" i="8"/>
  <c r="F39" i="8" s="1"/>
  <c r="P38" i="8" l="1"/>
  <c r="F38" i="8"/>
  <c r="O38" i="8"/>
  <c r="R40" i="8"/>
  <c r="M35" i="8"/>
  <c r="E42" i="8"/>
  <c r="G39" i="8"/>
  <c r="G38" i="8"/>
  <c r="I39" i="8" s="1"/>
  <c r="L41" i="8" l="1"/>
  <c r="O41" i="8" s="1"/>
  <c r="H41" i="8"/>
  <c r="I41" i="8"/>
  <c r="R41" i="8"/>
  <c r="F42" i="8" s="1"/>
  <c r="P41" i="8" l="1"/>
  <c r="F41" i="8"/>
  <c r="N41" i="8"/>
  <c r="G41" i="8"/>
  <c r="I42" i="8" s="1"/>
  <c r="G42" i="8"/>
  <c r="R43" i="8"/>
  <c r="M38" i="8"/>
  <c r="Q38" i="8" s="1"/>
  <c r="E45" i="8"/>
  <c r="AC40" i="8" l="1"/>
  <c r="AC38" i="8" s="1"/>
  <c r="E40" i="8"/>
  <c r="AB40" i="8"/>
  <c r="AB38" i="8" s="1"/>
  <c r="C38" i="8"/>
  <c r="W40" i="8"/>
  <c r="W38" i="8" s="1"/>
  <c r="T40" i="8"/>
  <c r="T38" i="8" s="1"/>
  <c r="Y40" i="8"/>
  <c r="Y38" i="8" s="1"/>
  <c r="V40" i="8"/>
  <c r="V38" i="8" s="1"/>
  <c r="D40" i="8"/>
  <c r="D38" i="8" s="1"/>
  <c r="Z40" i="8"/>
  <c r="Z38" i="8" s="1"/>
  <c r="AE40" i="8"/>
  <c r="AE38" i="8" s="1"/>
  <c r="U40" i="8"/>
  <c r="U38" i="8" s="1"/>
  <c r="AA40" i="8"/>
  <c r="AA38" i="8" s="1"/>
  <c r="X40" i="8"/>
  <c r="X38" i="8" s="1"/>
  <c r="B38" i="8"/>
  <c r="AD40" i="8"/>
  <c r="AD38" i="8" s="1"/>
  <c r="H44" i="8"/>
  <c r="I44" i="8"/>
  <c r="R44" i="8"/>
  <c r="F45" i="8" s="1"/>
  <c r="L44" i="8"/>
  <c r="O44" i="8" s="1"/>
  <c r="N44" i="8" l="1"/>
  <c r="M41" i="8"/>
  <c r="Q41" i="8" s="1"/>
  <c r="R46" i="8"/>
  <c r="E48" i="8"/>
  <c r="F44" i="8"/>
  <c r="G44" i="8"/>
  <c r="I45" i="8" s="1"/>
  <c r="G45" i="8"/>
  <c r="P44" i="8"/>
  <c r="L47" i="8" l="1"/>
  <c r="O47" i="8" s="1"/>
  <c r="H47" i="8"/>
  <c r="R47" i="8"/>
  <c r="F48" i="8" s="1"/>
  <c r="I47" i="8"/>
  <c r="V43" i="8"/>
  <c r="V41" i="8" s="1"/>
  <c r="AC43" i="8"/>
  <c r="AC41" i="8" s="1"/>
  <c r="X43" i="8"/>
  <c r="X41" i="8" s="1"/>
  <c r="AD43" i="8"/>
  <c r="AD41" i="8" s="1"/>
  <c r="W43" i="8"/>
  <c r="W41" i="8" s="1"/>
  <c r="Y43" i="8"/>
  <c r="Y41" i="8" s="1"/>
  <c r="E43" i="8"/>
  <c r="U43" i="8"/>
  <c r="U41" i="8" s="1"/>
  <c r="C41" i="8"/>
  <c r="Z43" i="8"/>
  <c r="Z41" i="8" s="1"/>
  <c r="AE43" i="8"/>
  <c r="AE41" i="8" s="1"/>
  <c r="AB43" i="8"/>
  <c r="AB41" i="8" s="1"/>
  <c r="AA43" i="8"/>
  <c r="AA41" i="8" s="1"/>
  <c r="D43" i="8"/>
  <c r="D41" i="8" s="1"/>
  <c r="B41" i="8"/>
  <c r="T43" i="8"/>
  <c r="T41" i="8" s="1"/>
  <c r="P47" i="8" l="1"/>
  <c r="N47" i="8"/>
  <c r="R49" i="8"/>
  <c r="M44" i="8"/>
  <c r="Q44" i="8" s="1"/>
  <c r="E51" i="8"/>
  <c r="G48" i="8"/>
  <c r="G47" i="8"/>
  <c r="I48" i="8" s="1"/>
  <c r="F47" i="8"/>
  <c r="V46" i="8" l="1"/>
  <c r="V44" i="8" s="1"/>
  <c r="AB46" i="8"/>
  <c r="AB44" i="8" s="1"/>
  <c r="E46" i="8"/>
  <c r="C44" i="8"/>
  <c r="AA46" i="8"/>
  <c r="AA44" i="8" s="1"/>
  <c r="Y46" i="8"/>
  <c r="Y44" i="8" s="1"/>
  <c r="AD46" i="8"/>
  <c r="AD44" i="8" s="1"/>
  <c r="W46" i="8"/>
  <c r="W44" i="8" s="1"/>
  <c r="AC46" i="8"/>
  <c r="AC44" i="8" s="1"/>
  <c r="D46" i="8"/>
  <c r="D44" i="8" s="1"/>
  <c r="Z46" i="8"/>
  <c r="Z44" i="8" s="1"/>
  <c r="U46" i="8"/>
  <c r="U44" i="8" s="1"/>
  <c r="AE46" i="8"/>
  <c r="AE44" i="8" s="1"/>
  <c r="B44" i="8"/>
  <c r="T46" i="8"/>
  <c r="T44" i="8" s="1"/>
  <c r="X46" i="8"/>
  <c r="X44" i="8" s="1"/>
  <c r="M50" i="8"/>
  <c r="L50" i="8"/>
  <c r="M47" i="8" s="1"/>
  <c r="Q47" i="8" s="1"/>
  <c r="R50" i="8"/>
  <c r="F50" i="8" s="1"/>
  <c r="P50" i="8"/>
  <c r="N50" i="8"/>
  <c r="I50" i="8"/>
  <c r="H50" i="8"/>
  <c r="O50" i="8"/>
  <c r="B47" i="8" l="1"/>
  <c r="E49" i="8"/>
  <c r="C47" i="8"/>
  <c r="F51" i="8"/>
  <c r="G50" i="8"/>
  <c r="I51" i="8" s="1"/>
  <c r="G51" i="8"/>
  <c r="U49" i="8"/>
  <c r="U47" i="8" s="1"/>
  <c r="AC49" i="8"/>
  <c r="AC47" i="8" s="1"/>
  <c r="Z49" i="8"/>
  <c r="Z47" i="8" s="1"/>
  <c r="V49" i="8"/>
  <c r="V47" i="8" s="1"/>
  <c r="AD49" i="8"/>
  <c r="AD47" i="8" s="1"/>
  <c r="AB49" i="8"/>
  <c r="AB47" i="8" s="1"/>
  <c r="Y49" i="8"/>
  <c r="Y47" i="8" s="1"/>
  <c r="D49" i="8"/>
  <c r="D47" i="8" s="1"/>
  <c r="AA49" i="8"/>
  <c r="AA47" i="8" s="1"/>
  <c r="W49" i="8"/>
  <c r="W47" i="8" s="1"/>
  <c r="T49" i="8"/>
  <c r="T47" i="8" s="1"/>
  <c r="X49" i="8"/>
  <c r="X47" i="8" s="1"/>
  <c r="AE49" i="8"/>
  <c r="AE47" i="8" s="1"/>
  <c r="Q50" i="8"/>
  <c r="R52" i="8"/>
  <c r="E54" i="8"/>
  <c r="O53" i="8" l="1"/>
  <c r="I53" i="8"/>
  <c r="L53" i="8"/>
  <c r="N53" i="8"/>
  <c r="M53" i="8"/>
  <c r="P53" i="8"/>
  <c r="H53" i="8"/>
  <c r="R53" i="8"/>
  <c r="F54" i="8" s="1"/>
  <c r="C50" i="8"/>
  <c r="B50" i="8"/>
  <c r="E52" i="8"/>
  <c r="Z52" i="8"/>
  <c r="Z50" i="8" s="1"/>
  <c r="Q53" i="8" l="1"/>
  <c r="B53" i="8" s="1"/>
  <c r="AB52" i="8"/>
  <c r="AB50" i="8" s="1"/>
  <c r="AD52" i="8"/>
  <c r="AD50" i="8" s="1"/>
  <c r="AE52" i="8"/>
  <c r="AE50" i="8" s="1"/>
  <c r="F53" i="8"/>
  <c r="D52" i="8"/>
  <c r="D50" i="8" s="1"/>
  <c r="X52" i="8"/>
  <c r="X50" i="8" s="1"/>
  <c r="W52" i="8"/>
  <c r="W50" i="8" s="1"/>
  <c r="V52" i="8"/>
  <c r="V50" i="8" s="1"/>
  <c r="T52" i="8"/>
  <c r="T50" i="8" s="1"/>
  <c r="AA52" i="8"/>
  <c r="AA50" i="8" s="1"/>
  <c r="AC52" i="8"/>
  <c r="AC50" i="8" s="1"/>
  <c r="U52" i="8"/>
  <c r="U50" i="8" s="1"/>
  <c r="Y52" i="8"/>
  <c r="Y50" i="8" s="1"/>
  <c r="G54" i="8"/>
  <c r="G53" i="8"/>
  <c r="I54" i="8" s="1"/>
  <c r="E57" i="8"/>
  <c r="R55" i="8"/>
  <c r="C53" i="8" l="1"/>
  <c r="E55" i="8"/>
  <c r="I56" i="8"/>
  <c r="R56" i="8"/>
  <c r="F56" i="8" s="1"/>
  <c r="L56" i="8"/>
  <c r="O56" i="8"/>
  <c r="N56" i="8"/>
  <c r="H56" i="8"/>
  <c r="P56" i="8"/>
  <c r="M56" i="8"/>
  <c r="AC55" i="8"/>
  <c r="AC53" i="8" s="1"/>
  <c r="Y55" i="8" l="1"/>
  <c r="Y53" i="8" s="1"/>
  <c r="Z55" i="8"/>
  <c r="Z53" i="8" s="1"/>
  <c r="X55" i="8"/>
  <c r="X53" i="8" s="1"/>
  <c r="Q56" i="8"/>
  <c r="C56" i="8" s="1"/>
  <c r="AE55" i="8"/>
  <c r="AE53" i="8" s="1"/>
  <c r="F57" i="8"/>
  <c r="G57" i="8"/>
  <c r="G56" i="8"/>
  <c r="I57" i="8" s="1"/>
  <c r="AA55" i="8"/>
  <c r="AA53" i="8" s="1"/>
  <c r="V55" i="8"/>
  <c r="V53" i="8" s="1"/>
  <c r="T55" i="8"/>
  <c r="T53" i="8" s="1"/>
  <c r="AD55" i="8"/>
  <c r="AD53" i="8" s="1"/>
  <c r="R58" i="8"/>
  <c r="E60" i="8"/>
  <c r="W55" i="8"/>
  <c r="W53" i="8" s="1"/>
  <c r="U55" i="8"/>
  <c r="U53" i="8" s="1"/>
  <c r="D55" i="8"/>
  <c r="D53" i="8" s="1"/>
  <c r="AB55" i="8"/>
  <c r="AB53" i="8" s="1"/>
  <c r="B56" i="8" l="1"/>
  <c r="E58" i="8"/>
  <c r="O59" i="8"/>
  <c r="I59" i="8"/>
  <c r="L59" i="8"/>
  <c r="P59" i="8"/>
  <c r="M59" i="8"/>
  <c r="H59" i="8"/>
  <c r="R59" i="8"/>
  <c r="X58" i="8" s="1"/>
  <c r="X56" i="8" s="1"/>
  <c r="N59" i="8"/>
  <c r="F60" i="8" l="1"/>
  <c r="F59" i="8"/>
  <c r="Q59" i="8"/>
  <c r="R61" i="8"/>
  <c r="E63" i="8"/>
  <c r="D58" i="8"/>
  <c r="D56" i="8" s="1"/>
  <c r="AB58" i="8"/>
  <c r="AB56" i="8" s="1"/>
  <c r="AA58" i="8"/>
  <c r="AA56" i="8" s="1"/>
  <c r="AE58" i="8"/>
  <c r="AE56" i="8" s="1"/>
  <c r="Y58" i="8"/>
  <c r="Y56" i="8" s="1"/>
  <c r="G59" i="8"/>
  <c r="I60" i="8" s="1"/>
  <c r="G60" i="8"/>
  <c r="V58" i="8"/>
  <c r="V56" i="8" s="1"/>
  <c r="T58" i="8"/>
  <c r="T56" i="8" s="1"/>
  <c r="W58" i="8"/>
  <c r="W56" i="8" s="1"/>
  <c r="U58" i="8"/>
  <c r="U56" i="8" s="1"/>
  <c r="AC58" i="8"/>
  <c r="AC56" i="8" s="1"/>
  <c r="Z58" i="8"/>
  <c r="Z56" i="8" s="1"/>
  <c r="AD58" i="8"/>
  <c r="AD56" i="8" s="1"/>
  <c r="M62" i="8" l="1"/>
  <c r="R62" i="8"/>
  <c r="F63" i="8" s="1"/>
  <c r="I62" i="8"/>
  <c r="L62" i="8"/>
  <c r="N62" i="8"/>
  <c r="P62" i="8"/>
  <c r="O62" i="8"/>
  <c r="H62" i="8"/>
  <c r="E61" i="8"/>
  <c r="B59" i="8"/>
  <c r="C59" i="8"/>
  <c r="AC61" i="8" l="1"/>
  <c r="AC59" i="8" s="1"/>
  <c r="W61" i="8"/>
  <c r="W59" i="8" s="1"/>
  <c r="AD61" i="8"/>
  <c r="AD59" i="8" s="1"/>
  <c r="U61" i="8"/>
  <c r="U59" i="8" s="1"/>
  <c r="V61" i="8"/>
  <c r="V59" i="8" s="1"/>
  <c r="AB61" i="8"/>
  <c r="AB59" i="8" s="1"/>
  <c r="D61" i="8"/>
  <c r="D59" i="8" s="1"/>
  <c r="Z61" i="8"/>
  <c r="Z59" i="8" s="1"/>
  <c r="X61" i="8"/>
  <c r="X59" i="8" s="1"/>
  <c r="AA61" i="8"/>
  <c r="AA59" i="8" s="1"/>
  <c r="Y61" i="8"/>
  <c r="Y59" i="8" s="1"/>
  <c r="F62" i="8"/>
  <c r="T61" i="8"/>
  <c r="T59" i="8" s="1"/>
  <c r="AE61" i="8"/>
  <c r="AE59" i="8" s="1"/>
  <c r="Q62" i="8"/>
  <c r="E66" i="8"/>
  <c r="R64" i="8"/>
  <c r="G62" i="8"/>
  <c r="I63" i="8" s="1"/>
  <c r="G63" i="8"/>
  <c r="P65" i="8" l="1"/>
  <c r="I65" i="8"/>
  <c r="N65" i="8"/>
  <c r="M65" i="8"/>
  <c r="O65" i="8"/>
  <c r="H65" i="8"/>
  <c r="L65" i="8"/>
  <c r="R65" i="8"/>
  <c r="F65" i="8" s="1"/>
  <c r="E64" i="8"/>
  <c r="B62" i="8"/>
  <c r="C62" i="8"/>
  <c r="AB64" i="8" l="1"/>
  <c r="AB62" i="8" s="1"/>
  <c r="AD64" i="8"/>
  <c r="AD62" i="8" s="1"/>
  <c r="X64" i="8"/>
  <c r="X62" i="8" s="1"/>
  <c r="Z64" i="8"/>
  <c r="Z62" i="8" s="1"/>
  <c r="W64" i="8"/>
  <c r="W62" i="8" s="1"/>
  <c r="Y64" i="8"/>
  <c r="Y62" i="8" s="1"/>
  <c r="AC64" i="8"/>
  <c r="AC62" i="8" s="1"/>
  <c r="T64" i="8"/>
  <c r="T62" i="8" s="1"/>
  <c r="U64" i="8"/>
  <c r="U62" i="8" s="1"/>
  <c r="AA64" i="8"/>
  <c r="AA62" i="8" s="1"/>
  <c r="AE64" i="8"/>
  <c r="AE62" i="8" s="1"/>
  <c r="V64" i="8"/>
  <c r="V62" i="8" s="1"/>
  <c r="D64" i="8"/>
  <c r="D62" i="8" s="1"/>
  <c r="Q65" i="8"/>
  <c r="E69" i="8"/>
  <c r="R67" i="8"/>
  <c r="G66" i="8"/>
  <c r="G65" i="8"/>
  <c r="I66" i="8" s="1"/>
  <c r="F66" i="8"/>
  <c r="L68" i="8" l="1"/>
  <c r="I68" i="8"/>
  <c r="M68" i="8"/>
  <c r="N68" i="8"/>
  <c r="P68" i="8"/>
  <c r="O68" i="8"/>
  <c r="H68" i="8"/>
  <c r="R68" i="8"/>
  <c r="F69" i="8" s="1"/>
  <c r="B65" i="8"/>
  <c r="C65" i="8"/>
  <c r="E67" i="8"/>
  <c r="AC67" i="8" l="1"/>
  <c r="AC65" i="8" s="1"/>
  <c r="Y67" i="8"/>
  <c r="Y65" i="8" s="1"/>
  <c r="U67" i="8"/>
  <c r="U65" i="8" s="1"/>
  <c r="T67" i="8"/>
  <c r="T65" i="8" s="1"/>
  <c r="V67" i="8"/>
  <c r="V65" i="8" s="1"/>
  <c r="Z67" i="8"/>
  <c r="Z65" i="8" s="1"/>
  <c r="AA67" i="8"/>
  <c r="AA65" i="8" s="1"/>
  <c r="W67" i="8"/>
  <c r="W65" i="8" s="1"/>
  <c r="AD67" i="8"/>
  <c r="AD65" i="8" s="1"/>
  <c r="X67" i="8"/>
  <c r="X65" i="8" s="1"/>
  <c r="AB67" i="8"/>
  <c r="AB65" i="8" s="1"/>
  <c r="AE67" i="8"/>
  <c r="AE65" i="8" s="1"/>
  <c r="D67" i="8"/>
  <c r="D65" i="8" s="1"/>
  <c r="F68" i="8"/>
  <c r="G69" i="8"/>
  <c r="G68" i="8"/>
  <c r="I69" i="8" s="1"/>
  <c r="Q68" i="8"/>
  <c r="E72" i="8"/>
  <c r="R70" i="8"/>
  <c r="B68" i="8" l="1"/>
  <c r="C68" i="8"/>
  <c r="E70" i="8"/>
  <c r="N71" i="8"/>
  <c r="R71" i="8"/>
  <c r="F72" i="8" s="1"/>
  <c r="L71" i="8"/>
  <c r="I71" i="8"/>
  <c r="O71" i="8"/>
  <c r="M71" i="8"/>
  <c r="H71" i="8"/>
  <c r="P71" i="8"/>
  <c r="G72" i="8" l="1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Q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M74" i="8" l="1"/>
  <c r="N74" i="8"/>
  <c r="O74" i="8"/>
  <c r="L74" i="8"/>
  <c r="H74" i="8"/>
  <c r="I74" i="8"/>
  <c r="R74" i="8"/>
  <c r="F75" i="8" s="1"/>
  <c r="P74" i="8"/>
  <c r="C71" i="8"/>
  <c r="B71" i="8"/>
  <c r="E73" i="8"/>
  <c r="D73" i="8" l="1"/>
  <c r="D71" i="8" s="1"/>
  <c r="AB73" i="8"/>
  <c r="AB71" i="8" s="1"/>
  <c r="Y73" i="8"/>
  <c r="Y71" i="8" s="1"/>
  <c r="X73" i="8"/>
  <c r="X71" i="8" s="1"/>
  <c r="AD73" i="8"/>
  <c r="AD71" i="8" s="1"/>
  <c r="F74" i="8"/>
  <c r="V73" i="8"/>
  <c r="V71" i="8" s="1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Q74" i="8"/>
  <c r="E78" i="8"/>
  <c r="R76" i="8"/>
  <c r="U73" i="8"/>
  <c r="U71" i="8" s="1"/>
  <c r="G75" i="8"/>
  <c r="G74" i="8"/>
  <c r="I75" i="8" s="1"/>
  <c r="H77" i="8" l="1"/>
  <c r="O77" i="8"/>
  <c r="P77" i="8"/>
  <c r="R77" i="8"/>
  <c r="F77" i="8" s="1"/>
  <c r="L77" i="8"/>
  <c r="N77" i="8"/>
  <c r="M77" i="8"/>
  <c r="I77" i="8"/>
  <c r="E76" i="8"/>
  <c r="B74" i="8"/>
  <c r="C74" i="8"/>
  <c r="W76" i="8" l="1"/>
  <c r="W74" i="8" s="1"/>
  <c r="Y76" i="8"/>
  <c r="Y74" i="8" s="1"/>
  <c r="AA76" i="8"/>
  <c r="AA74" i="8" s="1"/>
  <c r="V76" i="8"/>
  <c r="V74" i="8" s="1"/>
  <c r="U76" i="8"/>
  <c r="U74" i="8" s="1"/>
  <c r="AD76" i="8"/>
  <c r="AD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R80" i="8" l="1"/>
  <c r="AB79" i="8" s="1"/>
  <c r="AB77" i="8" s="1"/>
  <c r="I80" i="8"/>
  <c r="N80" i="8"/>
  <c r="H80" i="8"/>
  <c r="P80" i="8"/>
  <c r="M80" i="8"/>
  <c r="O80" i="8"/>
  <c r="L80" i="8"/>
  <c r="F80" i="8"/>
  <c r="E79" i="8"/>
  <c r="C77" i="8"/>
  <c r="B77" i="8"/>
  <c r="Z79" i="8"/>
  <c r="Z77" i="8" s="1"/>
  <c r="AC79" i="8"/>
  <c r="AC77" i="8" s="1"/>
  <c r="X79" i="8"/>
  <c r="X77" i="8" s="1"/>
  <c r="D79" i="8" l="1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E82" i="8" l="1"/>
  <c r="B80" i="8"/>
  <c r="C80" i="8"/>
  <c r="R83" i="8"/>
  <c r="AA82" i="8" s="1"/>
  <c r="AA80" i="8" s="1"/>
  <c r="H83" i="8"/>
  <c r="N83" i="8"/>
  <c r="L83" i="8"/>
  <c r="M83" i="8"/>
  <c r="P83" i="8"/>
  <c r="O83" i="8"/>
  <c r="I83" i="8"/>
  <c r="F83" i="8" l="1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R86" i="8" l="1"/>
  <c r="W85" i="8" s="1"/>
  <c r="W83" i="8" s="1"/>
  <c r="L86" i="8"/>
  <c r="P86" i="8"/>
  <c r="N86" i="8"/>
  <c r="H86" i="8"/>
  <c r="O86" i="8"/>
  <c r="M86" i="8"/>
  <c r="I86" i="8"/>
  <c r="E85" i="8"/>
  <c r="B83" i="8"/>
  <c r="C83" i="8"/>
  <c r="D85" i="8" l="1"/>
  <c r="D83" i="8" s="1"/>
  <c r="AB85" i="8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O89" i="8" l="1"/>
  <c r="M89" i="8"/>
  <c r="L89" i="8"/>
  <c r="I89" i="8"/>
  <c r="R89" i="8"/>
  <c r="X88" i="8" s="1"/>
  <c r="X86" i="8" s="1"/>
  <c r="P89" i="8"/>
  <c r="H89" i="8"/>
  <c r="N89" i="8"/>
  <c r="C86" i="8"/>
  <c r="B86" i="8"/>
  <c r="AB88" i="8"/>
  <c r="AB86" i="8" s="1"/>
  <c r="E88" i="8"/>
  <c r="V88" i="8" l="1"/>
  <c r="V86" i="8" s="1"/>
  <c r="D88" i="8"/>
  <c r="D86" i="8" s="1"/>
  <c r="F90" i="8"/>
  <c r="AA88" i="8"/>
  <c r="AA86" i="8" s="1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92" i="8" l="1"/>
  <c r="O92" i="8"/>
  <c r="M92" i="8"/>
  <c r="R92" i="8"/>
  <c r="W91" i="8" s="1"/>
  <c r="W89" i="8" s="1"/>
  <c r="L92" i="8"/>
  <c r="P92" i="8"/>
  <c r="H92" i="8"/>
  <c r="N92" i="8"/>
  <c r="B89" i="8"/>
  <c r="E91" i="8"/>
  <c r="C89" i="8"/>
  <c r="Z91" i="8" l="1"/>
  <c r="Z89" i="8" s="1"/>
  <c r="F93" i="8"/>
  <c r="D91" i="8"/>
  <c r="D89" i="8" s="1"/>
  <c r="V91" i="8"/>
  <c r="V89" i="8" s="1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M95" i="8" l="1"/>
  <c r="L95" i="8"/>
  <c r="O95" i="8"/>
  <c r="I95" i="8"/>
  <c r="P95" i="8"/>
  <c r="H95" i="8"/>
  <c r="N95" i="8"/>
  <c r="R95" i="8"/>
  <c r="AA94" i="8" s="1"/>
  <c r="AA92" i="8" s="1"/>
  <c r="E94" i="8"/>
  <c r="Y94" i="8"/>
  <c r="Y92" i="8" s="1"/>
  <c r="C92" i="8"/>
  <c r="B92" i="8"/>
  <c r="V94" i="8" l="1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B97" i="8" s="1"/>
  <c r="AB95" i="8" s="1"/>
  <c r="M98" i="8"/>
  <c r="N98" i="8"/>
  <c r="L98" i="8"/>
  <c r="H98" i="8"/>
  <c r="I98" i="8"/>
  <c r="O98" i="8"/>
  <c r="P98" i="8"/>
  <c r="E97" i="8"/>
  <c r="C95" i="8"/>
  <c r="B95" i="8"/>
  <c r="U97" i="8"/>
  <c r="U95" i="8" s="1"/>
  <c r="AE97" i="8"/>
  <c r="AE95" i="8" s="1"/>
  <c r="F98" i="8" l="1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A103" i="8" l="1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X106" i="8" s="1"/>
  <c r="X104" i="8" s="1"/>
  <c r="I107" i="8"/>
  <c r="B104" i="8"/>
  <c r="W106" i="8"/>
  <c r="W104" i="8" s="1"/>
  <c r="E106" i="8"/>
  <c r="C104" i="8"/>
  <c r="Y106" i="8" l="1"/>
  <c r="Y104" i="8" s="1"/>
  <c r="AE106" i="8"/>
  <c r="AE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T109" i="8"/>
  <c r="T107" i="8" s="1"/>
  <c r="U109" i="8"/>
  <c r="U107" i="8" s="1"/>
  <c r="Y109" i="8"/>
  <c r="Y107" i="8" s="1"/>
  <c r="E109" i="8"/>
  <c r="B107" i="8"/>
  <c r="D109" i="8"/>
  <c r="D107" i="8" s="1"/>
  <c r="AC109" i="8"/>
  <c r="AC107" i="8" s="1"/>
  <c r="C107" i="8"/>
  <c r="AA109" i="8" l="1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F132" i="8" l="1"/>
  <c r="D130" i="8"/>
  <c r="D128" i="8" s="1"/>
  <c r="U130" i="8"/>
  <c r="U128" i="8" s="1"/>
  <c r="Y130" i="8"/>
  <c r="Y128" i="8" s="1"/>
  <c r="Z130" i="8"/>
  <c r="Z128" i="8" s="1"/>
  <c r="T130" i="8"/>
  <c r="T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X145" i="8"/>
  <c r="X143" i="8" s="1"/>
  <c r="B143" i="8"/>
  <c r="AD145" i="8"/>
  <c r="AD143" i="8" s="1"/>
  <c r="C143" i="8"/>
  <c r="N35" i="8"/>
  <c r="Q35" i="8" s="1"/>
  <c r="Z145" i="8" l="1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35" i="8"/>
  <c r="T37" i="8"/>
  <c r="E37" i="8"/>
  <c r="AB37" i="8" s="1"/>
  <c r="C35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N32" i="8"/>
  <c r="Q32" i="8" s="1"/>
  <c r="N29" i="8"/>
  <c r="Q29" i="8" s="1"/>
  <c r="Z37" i="8"/>
  <c r="Z35" i="8" s="1"/>
  <c r="AD37" i="8"/>
  <c r="W37" i="8"/>
  <c r="V37" i="8"/>
  <c r="D37" i="8"/>
  <c r="D35" i="8" s="1"/>
  <c r="AB35" i="8"/>
  <c r="T35" i="8"/>
  <c r="Y37" i="8"/>
  <c r="AC37" i="8"/>
  <c r="U37" i="8"/>
  <c r="AE37" i="8"/>
  <c r="AA37" i="8"/>
  <c r="X37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E31" i="8"/>
  <c r="D31" i="8" s="1"/>
  <c r="D29" i="8" s="1"/>
  <c r="W31" i="8"/>
  <c r="W29" i="8" s="1"/>
  <c r="C29" i="8"/>
  <c r="B29" i="8"/>
  <c r="T31" i="8"/>
  <c r="AA31" i="8"/>
  <c r="AA29" i="8" s="1"/>
  <c r="AB31" i="8"/>
  <c r="Z31" i="8"/>
  <c r="Z29" i="8" s="1"/>
  <c r="X31" i="8"/>
  <c r="X29" i="8" s="1"/>
  <c r="V31" i="8"/>
  <c r="V29" i="8" s="1"/>
  <c r="U31" i="8"/>
  <c r="U29" i="8" s="1"/>
  <c r="Y31" i="8"/>
  <c r="Y29" i="8" s="1"/>
  <c r="AC31" i="8"/>
  <c r="AC29" i="8" s="1"/>
  <c r="AE31" i="8"/>
  <c r="AE29" i="8" s="1"/>
  <c r="AD31" i="8"/>
  <c r="AD29" i="8" s="1"/>
  <c r="B32" i="8"/>
  <c r="E34" i="8"/>
  <c r="AA34" i="8" s="1"/>
  <c r="AA32" i="8" s="1"/>
  <c r="U34" i="8"/>
  <c r="U32" i="8" s="1"/>
  <c r="Y34" i="8"/>
  <c r="Y32" i="8" s="1"/>
  <c r="T34" i="8"/>
  <c r="T32" i="8" s="1"/>
  <c r="AD34" i="8"/>
  <c r="AD32" i="8" s="1"/>
  <c r="AC34" i="8"/>
  <c r="AC32" i="8" s="1"/>
  <c r="X34" i="8"/>
  <c r="X32" i="8" s="1"/>
  <c r="C32" i="8"/>
  <c r="D34" i="8"/>
  <c r="D32" i="8" s="1"/>
  <c r="AB34" i="8"/>
  <c r="AB32" i="8" s="1"/>
  <c r="AE34" i="8"/>
  <c r="AE32" i="8" s="1"/>
  <c r="W34" i="8"/>
  <c r="W32" i="8" s="1"/>
  <c r="V34" i="8"/>
  <c r="V32" i="8" s="1"/>
  <c r="Z34" i="8"/>
  <c r="Z32" i="8" s="1"/>
  <c r="W35" i="8"/>
  <c r="AD35" i="8"/>
  <c r="V35" i="8"/>
  <c r="X35" i="8"/>
  <c r="AE35" i="8"/>
  <c r="AC35" i="8"/>
  <c r="AA35" i="8"/>
  <c r="U35" i="8"/>
  <c r="Y35" i="8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N26" i="8"/>
  <c r="Q26" i="8" s="1"/>
  <c r="AB29" i="8"/>
  <c r="T2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B26" i="8"/>
  <c r="E28" i="8"/>
  <c r="AA28" i="8" s="1"/>
  <c r="AA26" i="8" s="1"/>
  <c r="U28" i="8"/>
  <c r="U26" i="8" s="1"/>
  <c r="Y28" i="8"/>
  <c r="Y26" i="8" s="1"/>
  <c r="AD28" i="8"/>
  <c r="AD26" i="8" s="1"/>
  <c r="D28" i="8"/>
  <c r="D26" i="8" s="1"/>
  <c r="Z28" i="8"/>
  <c r="Z26" i="8" s="1"/>
  <c r="X28" i="8"/>
  <c r="X26" i="8" s="1"/>
  <c r="C26" i="8"/>
  <c r="V28" i="8"/>
  <c r="V26" i="8" s="1"/>
  <c r="AB28" i="8"/>
  <c r="AB26" i="8" s="1"/>
  <c r="W28" i="8"/>
  <c r="W26" i="8" s="1"/>
  <c r="T28" i="8"/>
  <c r="T26" i="8" s="1"/>
  <c r="AC28" i="8"/>
  <c r="AC26" i="8" s="1"/>
  <c r="AE28" i="8"/>
  <c r="AE26" i="8" s="1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 l="1"/>
  <c r="Y155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P161" i="8"/>
  <c r="I161" i="8"/>
  <c r="M161" i="8"/>
  <c r="H161" i="8"/>
  <c r="R161" i="8"/>
  <c r="AB160" i="8" s="1"/>
  <c r="AB158" i="8" s="1"/>
  <c r="N161" i="8"/>
  <c r="O161" i="8"/>
  <c r="N20" i="8" l="1"/>
  <c r="Q20" i="8" s="1"/>
  <c r="C20" i="8" s="1"/>
  <c r="N23" i="8"/>
  <c r="Q23" i="8" s="1"/>
  <c r="G21" i="8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E22" i="8" l="1"/>
  <c r="G24" i="8"/>
  <c r="Y25" i="8"/>
  <c r="Y22" i="8" s="1"/>
  <c r="Y20" i="8" s="1"/>
  <c r="W25" i="8"/>
  <c r="W22" i="8" s="1"/>
  <c r="W20" i="8" s="1"/>
  <c r="Z25" i="8"/>
  <c r="Z23" i="8" s="1"/>
  <c r="AE25" i="8"/>
  <c r="AE22" i="8" s="1"/>
  <c r="AE20" i="8" s="1"/>
  <c r="AC25" i="8"/>
  <c r="AC22" i="8" s="1"/>
  <c r="AC20" i="8" s="1"/>
  <c r="AB25" i="8"/>
  <c r="AB22" i="8" s="1"/>
  <c r="AB20" i="8" s="1"/>
  <c r="U25" i="8"/>
  <c r="U22" i="8" s="1"/>
  <c r="U20" i="8" s="1"/>
  <c r="X25" i="8"/>
  <c r="X23" i="8" s="1"/>
  <c r="C23" i="8"/>
  <c r="T25" i="8"/>
  <c r="T22" i="8" s="1"/>
  <c r="T20" i="8" s="1"/>
  <c r="AA25" i="8"/>
  <c r="AA22" i="8" s="1"/>
  <c r="AA20" i="8" s="1"/>
  <c r="E25" i="8"/>
  <c r="AD25" i="8" s="1"/>
  <c r="AD23" i="8" s="1"/>
  <c r="D25" i="8"/>
  <c r="D22" i="8" s="1"/>
  <c r="D20" i="8" s="1"/>
  <c r="V25" i="8"/>
  <c r="V22" i="8" s="1"/>
  <c r="V20" i="8" s="1"/>
  <c r="G20" i="8"/>
  <c r="I21" i="8" s="1"/>
  <c r="G18" i="8"/>
  <c r="E19" i="8"/>
  <c r="AD19" i="8" s="1"/>
  <c r="C17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Y23" i="8" l="1"/>
  <c r="U23" i="8"/>
  <c r="Y19" i="8"/>
  <c r="Y16" i="8" s="1"/>
  <c r="Y14" i="8" s="1"/>
  <c r="AC23" i="8"/>
  <c r="Z22" i="8"/>
  <c r="Z20" i="8" s="1"/>
  <c r="T23" i="8"/>
  <c r="AB23" i="8"/>
  <c r="AA23" i="8"/>
  <c r="W23" i="8"/>
  <c r="AD22" i="8"/>
  <c r="AD20" i="8" s="1"/>
  <c r="D23" i="8"/>
  <c r="X22" i="8"/>
  <c r="X20" i="8" s="1"/>
  <c r="V23" i="8"/>
  <c r="AE23" i="8"/>
  <c r="AD16" i="8"/>
  <c r="AD14" i="8" s="1"/>
  <c r="Z19" i="8"/>
  <c r="AA19" i="8"/>
  <c r="AA16" i="8" s="1"/>
  <c r="AA14" i="8" s="1"/>
  <c r="AD17" i="8"/>
  <c r="AB19" i="8"/>
  <c r="AB16" i="8" s="1"/>
  <c r="AB14" i="8" s="1"/>
  <c r="AC19" i="8"/>
  <c r="AC16" i="8" s="1"/>
  <c r="AC14" i="8" s="1"/>
  <c r="U19" i="8"/>
  <c r="U16" i="8" s="1"/>
  <c r="U14" i="8" s="1"/>
  <c r="V19" i="8"/>
  <c r="V16" i="8" s="1"/>
  <c r="V14" i="8" s="1"/>
  <c r="AE19" i="8"/>
  <c r="AE16" i="8" s="1"/>
  <c r="AE14" i="8" s="1"/>
  <c r="W19" i="8"/>
  <c r="W17" i="8" s="1"/>
  <c r="T19" i="8"/>
  <c r="T17" i="8" s="1"/>
  <c r="X19" i="8"/>
  <c r="D19" i="8"/>
  <c r="Y17" i="8" l="1"/>
  <c r="G23" i="8"/>
  <c r="I24" i="8" s="1"/>
  <c r="U17" i="8"/>
  <c r="AC17" i="8"/>
  <c r="T16" i="8"/>
  <c r="T14" i="8" s="1"/>
  <c r="W16" i="8"/>
  <c r="W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G14" i="8" l="1"/>
  <c r="I15" i="8" s="1"/>
  <c r="T173" i="8" a="1"/>
  <c r="T173" i="8" s="1"/>
  <c r="U173" i="8" s="1" a="1"/>
  <c r="U173" i="8" s="1"/>
  <c r="T174" i="8"/>
  <c r="U174" i="8" s="1"/>
  <c r="G17" i="8"/>
  <c r="I18" i="8" s="1"/>
  <c r="D174" i="8"/>
  <c r="D14" i="8"/>
  <c r="D173" i="8" a="1"/>
  <c r="D173" i="8" s="1"/>
  <c r="D168" i="8" s="1"/>
  <c r="T168" i="8" l="1"/>
  <c r="T169" i="8"/>
  <c r="T165" i="8" s="1"/>
  <c r="T170" i="8"/>
  <c r="J10" i="13" s="1"/>
  <c r="G10" i="13" s="1"/>
  <c r="D170" i="8"/>
  <c r="D169" i="8"/>
  <c r="D165" i="8" s="1"/>
  <c r="U168" i="8"/>
  <c r="V173" i="8" a="1"/>
  <c r="V173" i="8" s="1"/>
  <c r="V174" i="8"/>
  <c r="U169" i="8"/>
  <c r="U165" i="8" s="1"/>
  <c r="U170" i="8"/>
  <c r="W173" i="8" l="1" a="1"/>
  <c r="W173" i="8" s="1"/>
  <c r="V168" i="8"/>
  <c r="W174" i="8"/>
  <c r="V169" i="8"/>
  <c r="V165" i="8" s="1"/>
  <c r="V170" i="8"/>
  <c r="W169" i="8" l="1"/>
  <c r="W165" i="8" s="1"/>
  <c r="W170" i="8"/>
  <c r="X174" i="8"/>
  <c r="W168" i="8"/>
  <c r="X173" i="8" a="1"/>
  <c r="X173" i="8" s="1"/>
  <c r="X168" i="8" l="1"/>
  <c r="Y173" i="8" a="1"/>
  <c r="Y173" i="8" s="1"/>
  <c r="X170" i="8"/>
  <c r="Y174" i="8"/>
  <c r="X169" i="8"/>
  <c r="X165" i="8" s="1"/>
  <c r="Y168" i="8" l="1"/>
  <c r="Z173" i="8" a="1"/>
  <c r="Z173" i="8" s="1"/>
  <c r="Y169" i="8"/>
  <c r="Y165" i="8" s="1"/>
  <c r="Y170" i="8"/>
  <c r="Z174" i="8"/>
  <c r="AA173" i="8" l="1" a="1"/>
  <c r="AA173" i="8" s="1"/>
  <c r="Z168" i="8"/>
  <c r="Z170" i="8"/>
  <c r="Z169" i="8"/>
  <c r="Z165" i="8" s="1"/>
  <c r="AA174" i="8"/>
  <c r="AA169" i="8" l="1"/>
  <c r="AA165" i="8" s="1"/>
  <c r="AB174" i="8"/>
  <c r="AA170" i="8"/>
  <c r="AA168" i="8"/>
  <c r="AB173" i="8" a="1"/>
  <c r="AB173" i="8" s="1"/>
  <c r="AC173" i="8" l="1" a="1"/>
  <c r="AC173" i="8" s="1"/>
  <c r="AB168" i="8"/>
  <c r="AB170" i="8"/>
  <c r="AB169" i="8"/>
  <c r="AB165" i="8" s="1"/>
  <c r="AC174" i="8"/>
  <c r="AC170" i="8" l="1"/>
  <c r="AC169" i="8"/>
  <c r="AC165" i="8" s="1"/>
  <c r="AD174" i="8"/>
  <c r="AD173" i="8" a="1"/>
  <c r="AD173" i="8" s="1"/>
  <c r="AC168" i="8"/>
  <c r="AD169" i="8" l="1"/>
  <c r="AD165" i="8" s="1"/>
  <c r="AD170" i="8"/>
  <c r="AE174" i="8"/>
  <c r="AD168" i="8"/>
  <c r="AE173" i="8" a="1"/>
  <c r="AE173" i="8" s="1"/>
  <c r="AE168" i="8" s="1"/>
  <c r="AF174" i="8" l="1"/>
  <c r="AE170" i="8"/>
  <c r="AE169" i="8"/>
  <c r="AE165" i="8" s="1"/>
  <c r="B9" i="9"/>
  <c r="J10" i="8"/>
  <c r="F29" i="6" l="1"/>
  <c r="E29" i="12"/>
  <c r="G29" i="6"/>
  <c r="N30" i="6" l="1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4" i="6"/>
  <c r="N253" i="6"/>
  <c r="N255" i="6"/>
  <c r="N256" i="6"/>
  <c r="N257" i="6"/>
  <c r="N258" i="6"/>
  <c r="N259" i="6"/>
  <c r="N260" i="6"/>
  <c r="N261" i="6"/>
  <c r="N262" i="6"/>
  <c r="N263" i="6"/>
  <c r="N264" i="6"/>
  <c r="N265" i="6"/>
  <c r="C18" i="10" l="1"/>
  <c r="C18" i="9"/>
  <c r="C17" i="9"/>
  <c r="C17" i="10"/>
  <c r="AF40" i="5"/>
  <c r="R40" i="5" l="1"/>
  <c r="AG40" i="5"/>
  <c r="S40" i="5"/>
  <c r="G15" i="11" l="1"/>
  <c r="F15" i="13" s="1"/>
  <c r="I20" i="8"/>
  <c r="F40" i="12"/>
  <c r="G40" i="6"/>
  <c r="E28" i="12"/>
  <c r="F28" i="6"/>
  <c r="F40" i="6"/>
  <c r="E40" i="12"/>
  <c r="AC40" i="5"/>
  <c r="G28" i="6"/>
  <c r="AA35" i="5" l="1"/>
  <c r="AA34" i="5" l="1"/>
  <c r="AA3" i="11" l="1"/>
  <c r="AA33" i="5"/>
  <c r="AA24" i="5" l="1"/>
  <c r="AA23" i="5"/>
  <c r="AA31" i="5"/>
  <c r="AA32" i="5"/>
  <c r="AD19" i="11"/>
  <c r="AA30" i="5"/>
  <c r="AD22" i="11"/>
  <c r="AD14" i="11"/>
  <c r="AD21" i="11"/>
  <c r="AD12" i="11"/>
  <c r="AD17" i="11"/>
  <c r="AD20" i="11"/>
  <c r="AD16" i="11"/>
  <c r="AD15" i="11"/>
  <c r="AD18" i="11"/>
  <c r="AD23" i="11"/>
  <c r="AE23" i="11" s="1"/>
  <c r="M23" i="11" s="1"/>
  <c r="L23" i="11" s="1"/>
  <c r="AA18" i="5"/>
  <c r="B20" i="8"/>
  <c r="AA29" i="5" l="1"/>
  <c r="B23" i="8" s="1"/>
  <c r="AE14" i="11"/>
  <c r="AA28" i="5"/>
  <c r="AE15" i="11"/>
  <c r="AE18" i="11"/>
  <c r="M18" i="11" s="1"/>
  <c r="L18" i="11" s="1"/>
  <c r="AE21" i="11"/>
  <c r="M21" i="11" s="1"/>
  <c r="L21" i="11" s="1"/>
  <c r="AE17" i="11"/>
  <c r="M17" i="11" s="1"/>
  <c r="L17" i="11" s="1"/>
  <c r="AA17" i="5"/>
  <c r="AA16" i="5"/>
  <c r="B14" i="8" s="1"/>
  <c r="AA15" i="5"/>
  <c r="AE16" i="11"/>
  <c r="M16" i="11" s="1"/>
  <c r="L16" i="11" s="1"/>
  <c r="AE19" i="11"/>
  <c r="M19" i="11" s="1"/>
  <c r="L19" i="11" s="1"/>
  <c r="AE20" i="11"/>
  <c r="M20" i="11" s="1"/>
  <c r="L20" i="11" s="1"/>
  <c r="AE12" i="11"/>
  <c r="M12" i="11" s="1"/>
  <c r="L12" i="11" s="1"/>
  <c r="AE22" i="11"/>
  <c r="M22" i="11" s="1"/>
  <c r="L22" i="11" s="1"/>
  <c r="B17" i="8" l="1"/>
  <c r="D172" i="8" s="1" a="1"/>
  <c r="D172" i="8" s="1"/>
  <c r="D167" i="8" s="1"/>
  <c r="AC15" i="13"/>
  <c r="AF15" i="13"/>
  <c r="AA15" i="11"/>
  <c r="AJ15" i="13"/>
  <c r="AM15" i="13"/>
  <c r="AJ14" i="13"/>
  <c r="AM14" i="13"/>
  <c r="AC14" i="13"/>
  <c r="AF14" i="13"/>
  <c r="AA14" i="11"/>
  <c r="T172" i="8" l="1" a="1"/>
  <c r="T172" i="8" s="1"/>
  <c r="T167" i="8" s="1"/>
  <c r="D171" i="8"/>
  <c r="D166" i="8" s="1"/>
  <c r="T15" i="13"/>
  <c r="R15" i="13"/>
  <c r="Z15" i="11"/>
  <c r="M15" i="11"/>
  <c r="L15" i="11" s="1"/>
  <c r="T14" i="13"/>
  <c r="R14" i="13"/>
  <c r="M14" i="11"/>
  <c r="Z14" i="11"/>
  <c r="Z24" i="11" s="1"/>
  <c r="AA24" i="11"/>
  <c r="U172" i="8" l="1" a="1"/>
  <c r="U172" i="8" s="1"/>
  <c r="U167" i="8" s="1"/>
  <c r="T171" i="8"/>
  <c r="T166" i="8" s="1"/>
  <c r="AD3" i="13"/>
  <c r="AD2" i="13" s="1"/>
  <c r="M26" i="13"/>
  <c r="AE3" i="13" s="1"/>
  <c r="AE2" i="13" s="1"/>
  <c r="L14" i="11"/>
  <c r="L24" i="11" s="1"/>
  <c r="M24" i="11"/>
  <c r="V172" i="8" l="1" a="1"/>
  <c r="V172" i="8" s="1"/>
  <c r="W172" i="8" s="1" a="1"/>
  <c r="W172" i="8" s="1"/>
  <c r="W167" i="8" s="1"/>
  <c r="U171" i="8"/>
  <c r="U166" i="8" s="1"/>
  <c r="M25" i="13"/>
  <c r="O26" i="13"/>
  <c r="F31" i="14" s="1"/>
  <c r="M25" i="11"/>
  <c r="L26" i="13"/>
  <c r="M10" i="11"/>
  <c r="N10" i="13" s="1"/>
  <c r="L10" i="11"/>
  <c r="M10" i="13" s="1"/>
  <c r="L25" i="13"/>
  <c r="D30" i="14" s="1"/>
  <c r="L25" i="11"/>
  <c r="V167" i="8" l="1"/>
  <c r="X172" i="8" a="1"/>
  <c r="X172" i="8" s="1"/>
  <c r="Y172" i="8" s="1" a="1"/>
  <c r="Y172" i="8" s="1"/>
  <c r="Y167" i="8" s="1"/>
  <c r="W171" i="8"/>
  <c r="V171" i="8"/>
  <c r="V166" i="8" s="1"/>
  <c r="G9" i="11"/>
  <c r="O25" i="13"/>
  <c r="N25" i="13" s="1"/>
  <c r="E30" i="14" s="1"/>
  <c r="N26" i="13"/>
  <c r="E31" i="14" s="1"/>
  <c r="AD26" i="13"/>
  <c r="D31" i="14"/>
  <c r="AC26" i="13"/>
  <c r="W166" i="8" l="1"/>
  <c r="X171" i="8"/>
  <c r="X166" i="8" s="1"/>
  <c r="X167" i="8"/>
  <c r="Z172" i="8" a="1"/>
  <c r="Z172" i="8" s="1"/>
  <c r="Z171" i="8" s="1"/>
  <c r="Z166" i="8" s="1"/>
  <c r="Y171" i="8"/>
  <c r="Y166" i="8" s="1"/>
  <c r="F30" i="14"/>
  <c r="Z167" i="8" l="1"/>
  <c r="AA172" i="8" a="1"/>
  <c r="AA172" i="8" s="1"/>
  <c r="AA167" i="8" s="1"/>
  <c r="AB172" i="8" l="1" a="1"/>
  <c r="AB172" i="8" s="1"/>
  <c r="AC172" i="8" s="1" a="1"/>
  <c r="AC172" i="8" s="1"/>
  <c r="AA171" i="8"/>
  <c r="AA166" i="8" s="1"/>
  <c r="AB167" i="8" l="1"/>
  <c r="AB171" i="8"/>
  <c r="AB166" i="8" s="1"/>
  <c r="AC171" i="8"/>
  <c r="AD172" i="8" a="1"/>
  <c r="AD172" i="8" s="1"/>
  <c r="AC167" i="8"/>
  <c r="AC166" i="8" l="1"/>
  <c r="AD167" i="8"/>
  <c r="AE172" i="8" a="1"/>
  <c r="AE172" i="8" s="1"/>
  <c r="AD171" i="8"/>
  <c r="AD166" i="8" s="1"/>
  <c r="AE167" i="8" l="1"/>
  <c r="AE171" i="8"/>
  <c r="AF172" i="8"/>
  <c r="AF171" i="8" l="1"/>
  <c r="AF173" i="8" s="1"/>
  <c r="AE166" i="8"/>
  <c r="AF20" i="5" l="1"/>
  <c r="AF26" i="5"/>
  <c r="AF25" i="5"/>
  <c r="AF16" i="5"/>
  <c r="S16" i="5" l="1"/>
  <c r="AG16" i="5"/>
  <c r="AG25" i="5"/>
  <c r="S25" i="5"/>
  <c r="R25" i="5"/>
  <c r="S26" i="5"/>
  <c r="R26" i="5"/>
  <c r="AG26" i="5"/>
  <c r="AG20" i="5"/>
  <c r="S20" i="5"/>
  <c r="R20" i="5"/>
  <c r="AF14" i="5"/>
  <c r="AF31" i="5"/>
  <c r="AF23" i="5"/>
  <c r="AF27" i="5"/>
  <c r="AF29" i="5"/>
  <c r="AF28" i="5"/>
  <c r="AF19" i="5"/>
  <c r="AF39" i="5"/>
  <c r="AF33" i="5"/>
  <c r="AF17" i="5"/>
  <c r="AF22" i="5"/>
  <c r="AF18" i="5"/>
  <c r="R14" i="5" l="1"/>
  <c r="AG14" i="5"/>
  <c r="S14" i="5"/>
  <c r="AG17" i="5"/>
  <c r="S17" i="5"/>
  <c r="AG33" i="5"/>
  <c r="S33" i="5"/>
  <c r="R33" i="5"/>
  <c r="AG39" i="5"/>
  <c r="S39" i="5"/>
  <c r="R39" i="5"/>
  <c r="S28" i="5"/>
  <c r="AG28" i="5"/>
  <c r="AG29" i="5"/>
  <c r="S29" i="5"/>
  <c r="AG27" i="5"/>
  <c r="S27" i="5"/>
  <c r="R27" i="5"/>
  <c r="E26" i="12"/>
  <c r="F26" i="6"/>
  <c r="AC26" i="5"/>
  <c r="G26" i="6"/>
  <c r="F26" i="12"/>
  <c r="G14" i="6"/>
  <c r="F14" i="12"/>
  <c r="F14" i="6"/>
  <c r="AC14" i="5"/>
  <c r="E14" i="12"/>
  <c r="F25" i="6"/>
  <c r="AC25" i="5"/>
  <c r="E25" i="12"/>
  <c r="G25" i="6"/>
  <c r="F25" i="12"/>
  <c r="F20" i="6"/>
  <c r="E20" i="12"/>
  <c r="AC20" i="5"/>
  <c r="F20" i="12"/>
  <c r="G20" i="6"/>
  <c r="F16" i="12"/>
  <c r="AC16" i="5"/>
  <c r="AF34" i="5"/>
  <c r="S18" i="5"/>
  <c r="S34" i="5"/>
  <c r="AF36" i="5"/>
  <c r="AF21" i="5"/>
  <c r="AF24" i="5"/>
  <c r="AF30" i="5"/>
  <c r="AF37" i="5"/>
  <c r="R18" i="5"/>
  <c r="R34" i="5"/>
  <c r="S19" i="5"/>
  <c r="R22" i="5"/>
  <c r="R19" i="5"/>
  <c r="R23" i="5"/>
  <c r="S22" i="5"/>
  <c r="S23" i="5"/>
  <c r="AF32" i="5"/>
  <c r="AF38" i="5"/>
  <c r="R31" i="5"/>
  <c r="S31" i="5"/>
  <c r="AF35" i="5"/>
  <c r="G31" i="6" l="1"/>
  <c r="F31" i="12"/>
  <c r="E31" i="12"/>
  <c r="F31" i="6"/>
  <c r="AG38" i="5"/>
  <c r="R38" i="5"/>
  <c r="S38" i="5"/>
  <c r="G23" i="6"/>
  <c r="F23" i="12"/>
  <c r="F22" i="12"/>
  <c r="G22" i="6"/>
  <c r="F23" i="6"/>
  <c r="E23" i="12"/>
  <c r="E19" i="12"/>
  <c r="F19" i="6"/>
  <c r="E22" i="12"/>
  <c r="F22" i="6"/>
  <c r="F19" i="12"/>
  <c r="G19" i="6"/>
  <c r="E34" i="12"/>
  <c r="F34" i="6"/>
  <c r="E18" i="12"/>
  <c r="F18" i="6"/>
  <c r="R37" i="5"/>
  <c r="AG37" i="5"/>
  <c r="S37" i="5"/>
  <c r="G34" i="6"/>
  <c r="F34" i="12"/>
  <c r="G18" i="6"/>
  <c r="F18" i="12"/>
  <c r="AC27" i="5"/>
  <c r="F27" i="6"/>
  <c r="E27" i="12"/>
  <c r="F27" i="12"/>
  <c r="G27" i="6"/>
  <c r="F33" i="6"/>
  <c r="E33" i="12"/>
  <c r="AC33" i="5"/>
  <c r="G33" i="6"/>
  <c r="F33" i="12"/>
  <c r="AC29" i="5"/>
  <c r="F29" i="12"/>
  <c r="AC17" i="5"/>
  <c r="F17" i="12"/>
  <c r="AC28" i="5"/>
  <c r="F28" i="12"/>
  <c r="E39" i="12"/>
  <c r="F39" i="6"/>
  <c r="AC39" i="5"/>
  <c r="F39" i="12"/>
  <c r="G39" i="6"/>
  <c r="R35" i="5"/>
  <c r="AG32" i="5"/>
  <c r="S36" i="5"/>
  <c r="S35" i="5"/>
  <c r="R32" i="5"/>
  <c r="AG36" i="5"/>
  <c r="S30" i="5"/>
  <c r="R30" i="5"/>
  <c r="S24" i="5"/>
  <c r="AG24" i="5"/>
  <c r="R24" i="5"/>
  <c r="AG21" i="5"/>
  <c r="R21" i="5"/>
  <c r="S21" i="5"/>
  <c r="S32" i="5"/>
  <c r="R36" i="5"/>
  <c r="F36" i="6" l="1"/>
  <c r="AC36" i="5"/>
  <c r="E36" i="12"/>
  <c r="F32" i="12"/>
  <c r="G32" i="6"/>
  <c r="F21" i="12"/>
  <c r="G21" i="6"/>
  <c r="E21" i="12"/>
  <c r="F21" i="6"/>
  <c r="AC21" i="5"/>
  <c r="E24" i="12"/>
  <c r="AC24" i="5"/>
  <c r="F24" i="6"/>
  <c r="F24" i="12"/>
  <c r="G24" i="6"/>
  <c r="E30" i="12"/>
  <c r="F30" i="6"/>
  <c r="F30" i="12"/>
  <c r="G30" i="6"/>
  <c r="F32" i="6"/>
  <c r="AC32" i="5"/>
  <c r="E32" i="12"/>
  <c r="F35" i="12"/>
  <c r="G35" i="6"/>
  <c r="F36" i="12"/>
  <c r="G36" i="6"/>
  <c r="F35" i="6"/>
  <c r="E35" i="12"/>
  <c r="E37" i="12"/>
  <c r="F37" i="6"/>
  <c r="AC37" i="5"/>
  <c r="F38" i="12"/>
  <c r="G38" i="6"/>
  <c r="F38" i="6"/>
  <c r="E38" i="12"/>
  <c r="AC38" i="5"/>
  <c r="F37" i="12"/>
  <c r="G37" i="6"/>
  <c r="AG35" i="5" l="1"/>
  <c r="AG23" i="5"/>
  <c r="AG22" i="5"/>
  <c r="AG34" i="5"/>
  <c r="AG31" i="5"/>
  <c r="AG19" i="5"/>
  <c r="AC19" i="5" l="1"/>
  <c r="AC31" i="5"/>
  <c r="AC34" i="5"/>
  <c r="AC22" i="5"/>
  <c r="AC23" i="5"/>
  <c r="AC35" i="5"/>
  <c r="AG30" i="5"/>
  <c r="AG18" i="5"/>
  <c r="AC18" i="5" l="1"/>
  <c r="AC11" i="5" s="1"/>
  <c r="AC30" i="5"/>
</calcChain>
</file>

<file path=xl/sharedStrings.xml><?xml version="1.0" encoding="utf-8"?>
<sst xmlns="http://schemas.openxmlformats.org/spreadsheetml/2006/main" count="2366" uniqueCount="472">
  <si>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</si>
  <si>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</si>
  <si>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</si>
  <si>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</si>
  <si>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</si>
  <si>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</si>
  <si>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</si>
  <si>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</si>
  <si>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</si>
  <si>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</si>
  <si>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</si>
  <si>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</si>
  <si>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</si>
  <si>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</si>
  <si>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</si>
  <si>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</si>
  <si>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</si>
  <si>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</si>
  <si>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</si>
  <si>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</si>
  <si>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</si>
  <si>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</si>
  <si>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</si>
  <si>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</si>
  <si>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</si>
  <si>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</si>
  <si>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</si>
  <si>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</si>
  <si>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</si>
  <si>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</si>
  <si>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</si>
  <si>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</si>
  <si>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</si>
  <si>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</si>
  <si>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</si>
  <si>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</si>
  <si>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</si>
  <si>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</si>
  <si>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</si>
  <si>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</si>
  <si>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</si>
  <si>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</si>
  <si>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</si>
  <si>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</si>
  <si>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</si>
  <si>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</si>
  <si>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</si>
  <si>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</si>
  <si>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</si>
  <si>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</si>
  <si>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</si>
  <si>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</si>
  <si>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</si>
  <si>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</si>
  <si>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</si>
  <si>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</si>
  <si>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</si>
  <si>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</si>
  <si>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</si>
  <si>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</si>
  <si>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</si>
  <si>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</si>
  <si>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</si>
  <si>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</si>
  <si>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</si>
  <si>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</si>
  <si>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</si>
  <si>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</si>
  <si>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</si>
  <si>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</si>
  <si>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</si>
  <si>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</si>
  <si>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</si>
  <si>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</si>
  <si>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</si>
  <si>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</si>
  <si>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</si>
  <si>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</si>
  <si>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</si>
  <si>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</si>
  <si>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</si>
  <si>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</si>
  <si>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</si>
  <si>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</si>
  <si>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</si>
  <si>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</si>
  <si>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</si>
  <si>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</si>
  <si>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</si>
  <si>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</si>
  <si>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</si>
  <si>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</si>
  <si>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</si>
  <si>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</si>
  <si>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</si>
  <si>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</si>
  <si>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</si>
  <si>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</si>
  <si>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</si>
  <si>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</si>
  <si>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</si>
  <si>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</si>
  <si>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</si>
  <si>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</si>
  <si>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</si>
  <si>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</si>
  <si>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</si>
  <si>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</si>
  <si>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</si>
  <si>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</si>
  <si>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</si>
  <si>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</si>
  <si>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</si>
  <si>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</si>
  <si>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</si>
  <si>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</si>
  <si>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</si>
  <si>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</si>
  <si>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</si>
  <si>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</si>
  <si>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</si>
  <si>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</si>
  <si>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</si>
  <si>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</si>
  <si>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</si>
  <si>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</si>
  <si>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</si>
  <si>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</si>
  <si>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</si>
  <si>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</si>
  <si>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</si>
  <si>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</si>
  <si>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</si>
  <si>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</si>
  <si>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</si>
  <si>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</si>
  <si>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</si>
  <si>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</si>
  <si>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</si>
  <si>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</si>
  <si>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</si>
  <si>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</si>
  <si>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</si>
  <si>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</si>
  <si>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</si>
  <si>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</si>
  <si>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</si>
  <si>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</si>
  <si>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</si>
  <si>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</si>
  <si>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</si>
  <si>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</si>
  <si>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</si>
  <si>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</si>
  <si>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</si>
  <si>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</si>
  <si>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</si>
  <si>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</si>
  <si>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</si>
  <si>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</si>
  <si>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</si>
  <si>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</si>
  <si>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</si>
  <si>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</si>
  <si>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</si>
  <si>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</si>
  <si>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</si>
  <si>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</si>
  <si>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</si>
  <si>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</si>
  <si>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</si>
  <si>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</si>
  <si>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</si>
  <si>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</si>
  <si>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</si>
  <si>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</si>
  <si>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</si>
  <si>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</si>
  <si>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</si>
  <si>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</si>
  <si>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</si>
  <si>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</si>
  <si>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</si>
  <si>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</si>
  <si>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</si>
  <si>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</si>
  <si>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</si>
  <si>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</si>
  <si>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</si>
  <si>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</si>
  <si>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</si>
  <si>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</si>
  <si>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</si>
  <si>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</si>
  <si>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</si>
  <si>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</si>
  <si>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</si>
  <si>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</si>
  <si>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</si>
  <si>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</si>
  <si>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</si>
  <si>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</si>
  <si>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</si>
  <si>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</si>
  <si>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</si>
  <si>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</si>
  <si>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</si>
  <si>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</si>
  <si>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</si>
  <si>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</si>
  <si>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</si>
  <si>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</si>
  <si>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</si>
  <si>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</si>
  <si>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</si>
  <si>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</si>
  <si>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</si>
  <si>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</si>
  <si>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</si>
  <si>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</si>
  <si>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</si>
  <si>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</si>
  <si>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</si>
  <si>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</si>
  <si>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</si>
  <si>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</si>
  <si>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</si>
  <si>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</si>
  <si>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</si>
  <si>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</si>
  <si>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</si>
  <si>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</si>
  <si>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</si>
  <si>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</si>
  <si>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</si>
  <si>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</si>
  <si>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</si>
  <si>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</si>
  <si>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</si>
  <si>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</si>
  <si>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</si>
  <si>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</si>
  <si>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</si>
  <si>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</si>
  <si>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</si>
  <si>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</si>
  <si>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</si>
  <si>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</si>
  <si>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</si>
  <si>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</si>
  <si>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</si>
  <si>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</si>
  <si>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</si>
  <si>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</si>
  <si>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</si>
  <si>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</si>
  <si>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</si>
  <si>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</si>
  <si>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</si>
  <si>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</si>
  <si>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</si>
  <si>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</si>
  <si>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</si>
  <si>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</si>
  <si>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</si>
  <si>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</si>
  <si>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</si>
  <si>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</si>
  <si>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</si>
  <si>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</si>
  <si>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</si>
  <si>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</si>
  <si>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</si>
  <si>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</si>
  <si>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</si>
  <si>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</si>
  <si>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</si>
  <si>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</si>
  <si>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</si>
  <si>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</si>
  <si>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</si>
  <si>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</si>
  <si>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</si>
  <si>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</si>
  <si>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</si>
  <si>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</si>
  <si>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</si>
  <si>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</si>
  <si>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</si>
  <si>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</si>
  <si>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</si>
  <si>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</si>
  <si>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</si>
  <si>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</si>
  <si>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</si>
  <si>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</si>
  <si>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</si>
  <si>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</si>
  <si>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</si>
  <si>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</si>
  <si>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</si>
  <si>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</si>
  <si>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</si>
  <si>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</si>
  <si>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</si>
  <si>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</si>
  <si>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</si>
  <si>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</si>
  <si>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</si>
  <si>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</si>
  <si>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</si>
  <si>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</si>
  <si>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</si>
  <si>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</si>
  <si>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</si>
  <si>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</si>
  <si>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</si>
  <si>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</si>
  <si>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</si>
  <si>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</si>
  <si>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</si>
  <si>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</si>
  <si>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</si>
  <si>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</si>
  <si>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</si>
  <si>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</si>
  <si>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</si>
  <si>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</si>
  <si>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</si>
  <si>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</si>
  <si>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</si>
  <si>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</si>
  <si>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</si>
  <si>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</si>
  <si>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</si>
  <si>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</si>
  <si>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</si>
  <si>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</si>
  <si>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</si>
  <si>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</si>
  <si>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</si>
  <si>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</si>
  <si>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</si>
  <si>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</si>
  <si>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</si>
  <si>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</si>
  <si>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</si>
  <si>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</si>
  <si>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</si>
  <si>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</si>
  <si>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</si>
  <si>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</si>
  <si>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</si>
  <si>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</si>
  <si>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</si>
  <si>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</si>
  <si>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</si>
  <si>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</si>
  <si>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</si>
  <si>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</si>
  <si>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</si>
  <si>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</si>
  <si>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</si>
  <si>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</si>
  <si>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</si>
  <si>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</si>
  <si>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</si>
  <si>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</si>
  <si>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</si>
  <si>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</si>
  <si>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</si>
  <si>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</si>
  <si>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</si>
  <si>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</si>
  <si>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</si>
  <si>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</si>
  <si>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</si>
  <si>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</si>
  <si>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</si>
  <si>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</si>
  <si>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</si>
  <si>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</si>
  <si>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</si>
  <si>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</si>
  <si>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</si>
  <si>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</si>
  <si>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</si>
  <si>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</si>
  <si>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</si>
  <si>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</si>
  <si>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</si>
  <si>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</si>
  <si>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</si>
  <si>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</si>
  <si>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</si>
  <si>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</si>
  <si>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</si>
  <si>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</si>
  <si>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</si>
  <si>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</si>
  <si>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</si>
  <si>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</si>
  <si>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</si>
  <si>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</si>
  <si>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</si>
  <si>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</si>
  <si>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</si>
  <si>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</si>
  <si>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</si>
  <si>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</si>
  <si>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</si>
  <si>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</si>
  <si>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</si>
  <si>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</si>
  <si>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</si>
  <si>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</si>
  <si>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</si>
  <si>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</si>
  <si>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</si>
  <si>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</si>
  <si>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</si>
  <si>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</si>
  <si>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</si>
  <si>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</si>
  <si>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</si>
  <si>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</si>
  <si>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</si>
  <si>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</si>
  <si>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</si>
  <si>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</si>
  <si>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</si>
  <si>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</si>
  <si>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</si>
  <si>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</si>
  <si>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</si>
  <si>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</si>
  <si>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</si>
  <si>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</si>
  <si>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</si>
  <si>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</si>
  <si>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</si>
  <si>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</si>
  <si>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</si>
  <si>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SINAPI-I</t>
  </si>
  <si>
    <t>21141</t>
  </si>
  <si>
    <t>MUNICÍPIO DE CÉU AZUL</t>
  </si>
  <si>
    <t>GUSTAVO FRANCESCHINI</t>
  </si>
  <si>
    <t>126178/D</t>
  </si>
  <si>
    <t>LAURINDO SPEROTTO</t>
  </si>
  <si>
    <t>PREFEITO</t>
  </si>
  <si>
    <t>ENGENHEIRO CIVIL</t>
  </si>
  <si>
    <t>10,50 X 10,00 X 0,12 = 12,60 M3</t>
  </si>
  <si>
    <t>10,50 X 10,00 = 105,00 M2</t>
  </si>
  <si>
    <t>(10,50+10,50+10,00+10,00) X 0,15 = 6,15 M2</t>
  </si>
  <si>
    <t>10,50 X 10,00 X 0,03 = 3,15 M3</t>
  </si>
  <si>
    <t>BASE ACADEMIA</t>
  </si>
  <si>
    <t>(8,50+8,50+8,00+8,00) X 0,15 = 4,95 M2</t>
  </si>
  <si>
    <t>8,50 X 8,00 X 0,03 = 2,04 M3</t>
  </si>
  <si>
    <t>8,50 X 8,00 X 0,12 = 8,16 M3</t>
  </si>
  <si>
    <t>8,50 X 8,00 = 68,00 M2</t>
  </si>
  <si>
    <t>Análise Concluída / A Licitar</t>
  </si>
  <si>
    <t>01 UNIDADE</t>
  </si>
  <si>
    <t>BASE EM CONCRETO ARMADO</t>
  </si>
  <si>
    <t>EXECUÇÃO DE BASES PARA INSTALAÇÃO DE PARQUE ADAPTADO E ACADEMIA AO AR LIVRE</t>
  </si>
  <si>
    <t>PMCA</t>
  </si>
  <si>
    <t>4813</t>
  </si>
  <si>
    <t>96533</t>
  </si>
  <si>
    <t>96624</t>
  </si>
  <si>
    <t>97096</t>
  </si>
  <si>
    <t>97083</t>
  </si>
  <si>
    <t>1720231313229</t>
  </si>
  <si>
    <t>BASE PARQUE ADAPTADO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</si>
</sst>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10" sqref="E10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437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1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01-2023.xls.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9" activePane="bottomLeft" state="frozen"/>
      <selection pane="bottomLeft" activeCell="F26" sqref="F26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445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437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>
        <v>22000.51</v>
      </c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ht="25.5" x14ac:dyDescent="0.2">
      <c r="E16" s="32" t="s">
        <v>102</v>
      </c>
      <c r="F16" s="33" t="s">
        <v>463</v>
      </c>
      <c r="J16" s="15" t="s">
        <v>21</v>
      </c>
    </row>
    <row r="17" spans="5:10" x14ac:dyDescent="0.2">
      <c r="E17" s="25" t="s">
        <v>103</v>
      </c>
      <c r="F17" s="34" t="s">
        <v>462</v>
      </c>
      <c r="J17" s="15" t="s">
        <v>22</v>
      </c>
    </row>
    <row r="18" spans="5:10" x14ac:dyDescent="0.2">
      <c r="E18" s="35" t="s">
        <v>104</v>
      </c>
      <c r="F18" s="36" t="s">
        <v>436</v>
      </c>
      <c r="J18" s="15" t="s">
        <v>23</v>
      </c>
    </row>
    <row r="19" spans="5:10" x14ac:dyDescent="0.2">
      <c r="E19" s="37" t="s">
        <v>105</v>
      </c>
      <c r="F19" s="38">
        <v>44927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446</v>
      </c>
    </row>
    <row r="23" spans="5:10" x14ac:dyDescent="0.2">
      <c r="E23" s="25" t="s">
        <v>108</v>
      </c>
      <c r="F23" s="26" t="s">
        <v>447</v>
      </c>
    </row>
    <row r="24" spans="5:10" x14ac:dyDescent="0.2">
      <c r="E24" s="25" t="s">
        <v>109</v>
      </c>
      <c r="F24" s="26" t="s">
        <v>470</v>
      </c>
    </row>
    <row r="25" spans="5:10" ht="13.5" thickBot="1" x14ac:dyDescent="0.25">
      <c r="E25" s="29" t="s">
        <v>110</v>
      </c>
      <c r="F25" s="42">
        <v>45012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448</v>
      </c>
    </row>
    <row r="29" spans="5:10" x14ac:dyDescent="0.2">
      <c r="E29" s="29" t="s">
        <v>112</v>
      </c>
      <c r="F29" s="44" t="s">
        <v>449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45014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 t="s">
        <v>446</v>
      </c>
    </row>
    <row r="51" spans="5:6" x14ac:dyDescent="0.2">
      <c r="E51" s="25" t="s">
        <v>126</v>
      </c>
      <c r="F51" s="26" t="s">
        <v>450</v>
      </c>
    </row>
    <row r="52" spans="5:6" x14ac:dyDescent="0.2">
      <c r="E52" s="25" t="s">
        <v>127</v>
      </c>
      <c r="F52" s="26" t="s">
        <v>447</v>
      </c>
    </row>
    <row r="53" spans="5:6" x14ac:dyDescent="0.2">
      <c r="E53" s="29" t="s">
        <v>128</v>
      </c>
      <c r="F53" s="51" t="s">
        <v>470</v>
      </c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 filterMode="1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J11" sqref="J11:Q11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7" t="s">
        <v>139</v>
      </c>
      <c r="S1" s="687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8" t="s">
        <v>142</v>
      </c>
      <c r="S2" s="688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3" t="s">
        <v>440</v>
      </c>
      <c r="K4" s="683"/>
      <c r="L4" s="683" t="s">
        <v>441</v>
      </c>
      <c r="M4" s="683"/>
      <c r="N4" s="683" t="s">
        <v>146</v>
      </c>
      <c r="O4" s="683"/>
      <c r="P4" s="683"/>
      <c r="Q4" s="683"/>
      <c r="R4" s="683"/>
      <c r="S4" s="683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6">
        <f>Import.CR</f>
        <v>0</v>
      </c>
      <c r="K5" s="686"/>
      <c r="L5" s="686">
        <f>Import.SICONV</f>
        <v>0</v>
      </c>
      <c r="M5" s="686"/>
      <c r="N5" s="686" t="str">
        <f>Import.Proponente</f>
        <v>MUNICÍPIO DE CÉU AZUL</v>
      </c>
      <c r="O5" s="686"/>
      <c r="P5" s="686"/>
      <c r="Q5" s="686"/>
      <c r="R5" s="686"/>
      <c r="S5" s="686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6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6"/>
      <c r="J7" s="683" t="s">
        <v>150</v>
      </c>
      <c r="K7" s="683"/>
      <c r="L7" s="683"/>
      <c r="M7" s="683"/>
      <c r="N7" s="683"/>
      <c r="O7" s="683"/>
      <c r="P7" s="683"/>
      <c r="Q7" s="683"/>
      <c r="R7" s="683"/>
      <c r="S7" s="683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6"/>
      <c r="J8" s="691" t="str">
        <f>Import.Apelido&amp;" / "&amp;Import.DescLote</f>
        <v>EXECUÇÃO DE BASES PARA INSTALAÇÃO DE PARQUE ADAPTADO E ACADEMIA AO AR LIVRE / BASE EM CONCRETO ARMADO</v>
      </c>
      <c r="K8" s="691"/>
      <c r="L8" s="691"/>
      <c r="M8" s="691"/>
      <c r="N8" s="691"/>
      <c r="O8" s="691"/>
      <c r="P8" s="691"/>
      <c r="Q8" s="691"/>
      <c r="R8" s="691"/>
      <c r="S8" s="691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6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6"/>
      <c r="J10" s="692" t="s">
        <v>152</v>
      </c>
      <c r="K10" s="692"/>
      <c r="L10" s="692"/>
      <c r="M10" s="692"/>
      <c r="N10" s="692"/>
      <c r="O10" s="692"/>
      <c r="P10" s="692"/>
      <c r="Q10" s="692"/>
      <c r="R10" s="690">
        <v>1</v>
      </c>
      <c r="S10" s="690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89" t="s">
        <v>153</v>
      </c>
      <c r="K11" s="689"/>
      <c r="L11" s="689"/>
      <c r="M11" s="689"/>
      <c r="N11" s="689"/>
      <c r="O11" s="689"/>
      <c r="P11" s="689"/>
      <c r="Q11" s="689"/>
      <c r="R11" s="690">
        <v>0.04</v>
      </c>
      <c r="S11" s="690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5" t="s">
        <v>155</v>
      </c>
      <c r="K14" s="685"/>
      <c r="L14" s="685"/>
      <c r="M14" s="685"/>
      <c r="N14" s="685"/>
      <c r="O14" s="685"/>
      <c r="P14" s="685"/>
      <c r="Q14" s="685"/>
      <c r="R14" s="685"/>
      <c r="S14" s="68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3" t="s">
        <v>156</v>
      </c>
      <c r="K16" s="683"/>
      <c r="L16" s="683"/>
      <c r="M16" s="683"/>
      <c r="N16" s="683"/>
      <c r="O16" s="683"/>
      <c r="P16" s="683"/>
      <c r="Q16" s="683"/>
      <c r="R16" s="683"/>
      <c r="S16" s="683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4" t="s">
        <v>151</v>
      </c>
      <c r="K17" s="684"/>
      <c r="L17" s="684"/>
      <c r="M17" s="684"/>
      <c r="N17" s="684"/>
      <c r="O17" s="684"/>
      <c r="P17" s="684"/>
      <c r="Q17" s="684"/>
      <c r="R17" s="684"/>
      <c r="S17" s="684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2" t="s">
        <v>157</v>
      </c>
      <c r="K19" s="682"/>
      <c r="L19" s="682"/>
      <c r="M19" s="682"/>
      <c r="N19" s="682"/>
      <c r="O19" s="682"/>
      <c r="P19" s="682"/>
      <c r="Q19" s="682"/>
      <c r="R19" s="682" t="s">
        <v>158</v>
      </c>
      <c r="S19" s="673" t="s">
        <v>159</v>
      </c>
      <c r="U19" s="673" t="s">
        <v>160</v>
      </c>
      <c r="V19" s="673"/>
      <c r="W19" s="673"/>
      <c r="X19" s="681" t="s">
        <v>161</v>
      </c>
      <c r="Y19" s="681" t="s">
        <v>162</v>
      </c>
      <c r="Z19" s="68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2"/>
      <c r="K20" s="682"/>
      <c r="L20" s="682"/>
      <c r="M20" s="682"/>
      <c r="N20" s="682"/>
      <c r="O20" s="682"/>
      <c r="P20" s="682"/>
      <c r="Q20" s="682"/>
      <c r="R20" s="682"/>
      <c r="S20" s="673"/>
      <c r="U20" s="673"/>
      <c r="V20" s="673"/>
      <c r="W20" s="673"/>
      <c r="X20" s="681"/>
      <c r="Y20" s="681"/>
      <c r="Z20" s="68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1" t="str">
        <f>IF($J$17=$A$146,"Encargos Sociais incidentes sobre a mão de obra","Administração Central")</f>
        <v>Administração Central</v>
      </c>
      <c r="K21" s="671"/>
      <c r="L21" s="671"/>
      <c r="M21" s="671"/>
      <c r="N21" s="671"/>
      <c r="O21" s="671"/>
      <c r="P21" s="671"/>
      <c r="Q21" s="671"/>
      <c r="R21" s="77" t="str">
        <f>IF($J17=$A$146,"K1","AC")</f>
        <v>AC</v>
      </c>
      <c r="S21" s="78">
        <v>3.5000000000000003E-2</v>
      </c>
      <c r="U21" s="672" t="s">
        <v>165</v>
      </c>
      <c r="V21" s="672"/>
      <c r="W21" s="672"/>
      <c r="X21" s="79">
        <f>VLOOKUP(CONCATENATE(J17,"-",R21),$C$2:$G$136,3,FALSE)</f>
        <v>3.7999999999999999E-2</v>
      </c>
      <c r="Y21" s="79">
        <f>VLOOKUP(CONCATENATE(J17,"-",R21),$C$2:$G$136,4,FALSE)</f>
        <v>4.0099999999999997E-2</v>
      </c>
      <c r="Z21" s="79">
        <f>VLOOKUP(CONCATENATE(J17,"-",R21),$C$2:$G$136,5,FALSE)</f>
        <v>4.6699999999999998E-2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1" t="str">
        <f>IF($J$17=$A$146,"Administração Central da empresa ou consultoria - overhead","Seguro e Garantia")</f>
        <v>Seguro e Garantia</v>
      </c>
      <c r="K22" s="671"/>
      <c r="L22" s="671"/>
      <c r="M22" s="671"/>
      <c r="N22" s="671"/>
      <c r="O22" s="671"/>
      <c r="P22" s="671"/>
      <c r="Q22" s="671"/>
      <c r="R22" s="77" t="str">
        <f>IF($J17=$A$146,"K2","SG")</f>
        <v>SG</v>
      </c>
      <c r="S22" s="78">
        <v>3.2000000000000002E-3</v>
      </c>
      <c r="U22" s="672" t="s">
        <v>165</v>
      </c>
      <c r="V22" s="672"/>
      <c r="W22" s="672"/>
      <c r="X22" s="79">
        <f>VLOOKUP(CONCATENATE(J17,"-",R22),$C$2:$G$136,3,FALSE)</f>
        <v>3.2000000000000002E-3</v>
      </c>
      <c r="Y22" s="79">
        <f>VLOOKUP(CONCATENATE(J17,"-",R22),$C$2:$G$136,4,FALSE)</f>
        <v>4.0000000000000001E-3</v>
      </c>
      <c r="Z22" s="79">
        <f>VLOOKUP(CONCATENATE(J17,"-",R22),$C$2:$G$136,5,FALSE)</f>
        <v>7.4000000000000003E-3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1" t="str">
        <f>IF($J$17=$A$146,"","Risco")</f>
        <v>Risco</v>
      </c>
      <c r="K23" s="671"/>
      <c r="L23" s="671"/>
      <c r="M23" s="671"/>
      <c r="N23" s="671"/>
      <c r="O23" s="671"/>
      <c r="P23" s="671"/>
      <c r="Q23" s="671"/>
      <c r="R23" s="77" t="str">
        <f>IF($J17=$A$146,"","R")</f>
        <v>R</v>
      </c>
      <c r="S23" s="78">
        <v>5.0000000000000001E-3</v>
      </c>
      <c r="U23" s="672" t="s">
        <v>165</v>
      </c>
      <c r="V23" s="672"/>
      <c r="W23" s="672"/>
      <c r="X23" s="79">
        <f>VLOOKUP(CONCATENATE(J17,"-",R23),$C$2:$G$136,3,FALSE)</f>
        <v>5.0000000000000001E-3</v>
      </c>
      <c r="Y23" s="79">
        <f>VLOOKUP(CONCATENATE(J17,"-",R23),$C$2:$G$136,4,FALSE)</f>
        <v>5.6000000000000008E-3</v>
      </c>
      <c r="Z23" s="79">
        <f>VLOOKUP(CONCATENATE(J17,"-",R23),$C$2:$G$136,5,FALSE)</f>
        <v>9.7000000000000003E-3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1" t="str">
        <f>IF($J$17=$A$146,"","Despesas Financeiras")</f>
        <v>Despesas Financeiras</v>
      </c>
      <c r="K24" s="671"/>
      <c r="L24" s="671"/>
      <c r="M24" s="671"/>
      <c r="N24" s="671"/>
      <c r="O24" s="671"/>
      <c r="P24" s="671"/>
      <c r="Q24" s="671"/>
      <c r="R24" s="77" t="str">
        <f>IF($J17=$A$146,"","DF")</f>
        <v>DF</v>
      </c>
      <c r="S24" s="78">
        <v>1.0200000000000001E-2</v>
      </c>
      <c r="U24" s="672" t="s">
        <v>165</v>
      </c>
      <c r="V24" s="672"/>
      <c r="W24" s="672"/>
      <c r="X24" s="79">
        <f>VLOOKUP(CONCATENATE(J17,"-",R24),$C$2:$G$136,3,FALSE)</f>
        <v>1.0200000000000001E-2</v>
      </c>
      <c r="Y24" s="79">
        <f>VLOOKUP(CONCATENATE(J17,"-",R24),$C$2:$G$136,4,FALSE)</f>
        <v>1.11E-2</v>
      </c>
      <c r="Z24" s="79">
        <f>VLOOKUP(CONCATENATE(J17,"-",R24),$C$2:$G$136,5,FALSE)</f>
        <v>1.21E-2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1" t="str">
        <f>IF($J$17=$A$146,"Margem bruta da empresa de consultoria","Lucro")</f>
        <v>Lucro</v>
      </c>
      <c r="K25" s="671"/>
      <c r="L25" s="671"/>
      <c r="M25" s="671"/>
      <c r="N25" s="671"/>
      <c r="O25" s="671"/>
      <c r="P25" s="671"/>
      <c r="Q25" s="671"/>
      <c r="R25" s="77" t="str">
        <f>IF($J17=$A$146,"K3","L")</f>
        <v>L</v>
      </c>
      <c r="S25" s="78">
        <v>5.5E-2</v>
      </c>
      <c r="U25" s="672" t="s">
        <v>165</v>
      </c>
      <c r="V25" s="672"/>
      <c r="W25" s="672"/>
      <c r="X25" s="79">
        <f>VLOOKUP(CONCATENATE(J17,"-",R25),$C$2:$G$136,3,FALSE)</f>
        <v>6.6400000000000001E-2</v>
      </c>
      <c r="Y25" s="79">
        <f>VLOOKUP(CONCATENATE(J17,"-",R25),$C$2:$G$136,4,FALSE)</f>
        <v>7.2999999999999995E-2</v>
      </c>
      <c r="Z25" s="79">
        <f>VLOOKUP(CONCATENATE(J17,"-",R25),$C$2:$G$136,5,FALSE)</f>
        <v>8.6899999999999991E-2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1" t="s">
        <v>167</v>
      </c>
      <c r="K26" s="671"/>
      <c r="L26" s="671"/>
      <c r="M26" s="671"/>
      <c r="N26" s="671"/>
      <c r="O26" s="671"/>
      <c r="P26" s="671"/>
      <c r="Q26" s="671"/>
      <c r="R26" s="77" t="s">
        <v>168</v>
      </c>
      <c r="S26" s="78">
        <v>3.6499999999999998E-2</v>
      </c>
      <c r="U26" s="672" t="s">
        <v>165</v>
      </c>
      <c r="V26" s="672"/>
      <c r="W26" s="672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1" t="s">
        <v>169</v>
      </c>
      <c r="K27" s="671"/>
      <c r="L27" s="671"/>
      <c r="M27" s="671"/>
      <c r="N27" s="671"/>
      <c r="O27" s="671"/>
      <c r="P27" s="671"/>
      <c r="Q27" s="671"/>
      <c r="R27" s="77" t="s">
        <v>170</v>
      </c>
      <c r="S27" s="79">
        <f ca="1">IF(AND($J17&lt;&gt;$A$145,COUNTA(OFFSET(S20,1,0,6))&gt;0),$R$11*$R$10,0)</f>
        <v>0.04</v>
      </c>
      <c r="U27" s="672" t="s">
        <v>165</v>
      </c>
      <c r="V27" s="672"/>
      <c r="W27" s="672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1" t="s">
        <v>171</v>
      </c>
      <c r="K28" s="671"/>
      <c r="L28" s="671"/>
      <c r="M28" s="671"/>
      <c r="N28" s="671"/>
      <c r="O28" s="671"/>
      <c r="P28" s="671"/>
      <c r="Q28" s="671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2" t="s">
        <v>165</v>
      </c>
      <c r="V28" s="672"/>
      <c r="W28" s="672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1" t="s">
        <v>173</v>
      </c>
      <c r="K29" s="671"/>
      <c r="L29" s="671"/>
      <c r="M29" s="671"/>
      <c r="N29" s="671"/>
      <c r="O29" s="671"/>
      <c r="P29" s="671"/>
      <c r="Q29" s="671"/>
      <c r="R29" s="81" t="s">
        <v>149</v>
      </c>
      <c r="S29" s="79">
        <f ca="1">IF($J17=$A$145,0,ROUND((((1+S21+S22+S23)*(1+S24)*(1+S25)/(1-(S26+S27)))-1),4))</f>
        <v>0.2039</v>
      </c>
      <c r="U29" s="673" t="str">
        <f ca="1">IF(OR($J$17=$A$146,$J$17=$A$145,AND(S29&gt;=X29,S29&lt;=Z29)),"OK","FORA DO INTERVALO")</f>
        <v>OK</v>
      </c>
      <c r="V29" s="673"/>
      <c r="W29" s="673"/>
      <c r="X29" s="79">
        <f>IF($J17=$A$145,0,VLOOKUP(CONCATENATE($J17,"-",$R29),$C$2:$G$136,3,FALSE))</f>
        <v>0.19600000000000001</v>
      </c>
      <c r="Y29" s="79">
        <f>IF($J17=$A$145,0,VLOOKUP(CONCATENATE($J17,"-",$R29),$C$2:$G$136,4,FALSE))</f>
        <v>0.2097</v>
      </c>
      <c r="Z29" s="79">
        <f>IF($J17=$A$145,0,VLOOKUP(CONCATENATE($J17,"-",$R29),$C$2:$G$136,5,FALSE))</f>
        <v>0.24230000000000002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4" t="s">
        <v>174</v>
      </c>
      <c r="K30" s="674"/>
      <c r="L30" s="674"/>
      <c r="M30" s="674"/>
      <c r="N30" s="674"/>
      <c r="O30" s="674"/>
      <c r="P30" s="674"/>
      <c r="Q30" s="674"/>
      <c r="R30" s="82" t="s">
        <v>175</v>
      </c>
      <c r="S30" s="83">
        <f ca="1">IF($J17=$A$145,0,ROUND((((1+S21+S22+S23)*(1+S24)*(1+S25)/(1-(S26+S27+S28)))-1),4))</f>
        <v>0.2656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str">
        <f ca="1">IF(U29&lt;&gt;"ok","X","")</f>
        <v/>
      </c>
      <c r="K32" s="675" t="str">
        <f ca="1">IF(U29&lt;&gt;"ok","Anexo: Relatório Técnico Circunstanciado justificando a adoção do percentual de cada parcela do BDI.","")</f>
        <v/>
      </c>
      <c r="L32" s="675"/>
      <c r="M32" s="675"/>
      <c r="N32" s="675"/>
      <c r="O32" s="675"/>
      <c r="P32" s="675"/>
      <c r="Q32" s="675"/>
      <c r="R32" s="675"/>
      <c r="S32" s="675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7" t="s">
        <v>177</v>
      </c>
      <c r="K34" s="677"/>
      <c r="L34" s="677"/>
      <c r="M34" s="677"/>
      <c r="N34" s="677"/>
      <c r="O34" s="677"/>
      <c r="P34" s="677"/>
      <c r="Q34" s="677"/>
      <c r="R34" s="677"/>
      <c r="S34" s="677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8" t="s">
        <v>178</v>
      </c>
      <c r="N35" s="679" t="str">
        <f>IF($J17=$A$146,"(1+K1+K2)*(1+K3)","(1+AC + S + R + G)*(1 + DF)*(1+L)")</f>
        <v>(1+AC + S + R + G)*(1 + DF)*(1+L)</v>
      </c>
      <c r="O35" s="679"/>
      <c r="P35" s="679"/>
      <c r="Q35" s="68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8"/>
      <c r="N36" s="670" t="s">
        <v>180</v>
      </c>
      <c r="O36" s="670"/>
      <c r="P36" s="670"/>
      <c r="Q36" s="68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4"/>
      <c r="L38" s="664"/>
      <c r="M38" s="664"/>
      <c r="N38" s="664"/>
      <c r="O38" s="664"/>
      <c r="P38" s="664"/>
      <c r="Q38" s="664"/>
      <c r="R38" s="664"/>
      <c r="S38" s="664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4"/>
      <c r="L40" s="664"/>
      <c r="M40" s="664"/>
      <c r="N40" s="664"/>
      <c r="O40" s="664"/>
      <c r="P40" s="664"/>
      <c r="Q40" s="664"/>
      <c r="R40" s="664"/>
      <c r="S40" s="664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5"/>
      <c r="K43" s="665"/>
      <c r="L43" s="665"/>
      <c r="M43" s="665"/>
      <c r="N43" s="665"/>
      <c r="O43" s="665"/>
      <c r="P43" s="665"/>
      <c r="Q43" s="665"/>
      <c r="R43" s="665"/>
      <c r="S43" s="665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6" t="str">
        <f>Import.Município</f>
        <v>CÉU AZUL</v>
      </c>
      <c r="K45" s="666"/>
      <c r="L45" s="666"/>
      <c r="M45" s="666"/>
      <c r="P45" s="667">
        <f>DADOS!$F$25</f>
        <v>45012</v>
      </c>
      <c r="Q45" s="667"/>
      <c r="R45" s="667"/>
      <c r="S45" s="667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8" t="s">
        <v>187</v>
      </c>
      <c r="K46" s="668"/>
      <c r="L46" s="668"/>
      <c r="M46" s="668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69"/>
      <c r="K48" s="669"/>
      <c r="L48" s="669"/>
      <c r="M48" s="669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3" t="s">
        <v>189</v>
      </c>
      <c r="K49" s="663"/>
      <c r="L49" s="663"/>
      <c r="M49" s="663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GUSTAVO FRANCESCHINI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126178/D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 t="str">
        <v>1720231313229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hidden="1" x14ac:dyDescent="0.25">
      <c r="A54"/>
      <c r="B54"/>
      <c r="C54"/>
      <c r="D54"/>
      <c r="E54"/>
      <c r="F54"/>
      <c r="G54"/>
      <c r="I54" t="str">
        <f ca="1">IF($S$69=0,"","F")</f>
        <v/>
      </c>
      <c r="J54" s="685" t="s">
        <v>190</v>
      </c>
      <c r="K54" s="685"/>
      <c r="L54" s="685"/>
      <c r="M54" s="685"/>
      <c r="N54" s="685"/>
      <c r="O54" s="685"/>
      <c r="P54" s="685"/>
      <c r="Q54" s="685"/>
      <c r="R54" s="685"/>
      <c r="S54" s="685"/>
    </row>
    <row r="55" spans="1:26" hidden="1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hidden="1" x14ac:dyDescent="0.2">
      <c r="A56"/>
      <c r="B56"/>
      <c r="C56"/>
      <c r="D56"/>
      <c r="E56"/>
      <c r="F56"/>
      <c r="G56"/>
      <c r="I56" t="str">
        <f t="shared" ca="1" si="1"/>
        <v/>
      </c>
      <c r="J56" s="683" t="s">
        <v>156</v>
      </c>
      <c r="K56" s="683"/>
      <c r="L56" s="683"/>
      <c r="M56" s="683"/>
      <c r="N56" s="683"/>
      <c r="O56" s="683"/>
      <c r="P56" s="683"/>
      <c r="Q56" s="683"/>
      <c r="R56" s="683"/>
      <c r="S56" s="683"/>
    </row>
    <row r="57" spans="1:26" hidden="1" x14ac:dyDescent="0.2">
      <c r="A57"/>
      <c r="B57"/>
      <c r="C57"/>
      <c r="D57"/>
      <c r="E57"/>
      <c r="F57"/>
      <c r="G57"/>
      <c r="I57" t="str">
        <f t="shared" ca="1" si="1"/>
        <v/>
      </c>
      <c r="J57" s="684" t="s">
        <v>408</v>
      </c>
      <c r="K57" s="684"/>
      <c r="L57" s="684"/>
      <c r="M57" s="684"/>
      <c r="N57" s="684"/>
      <c r="O57" s="684"/>
      <c r="P57" s="684"/>
      <c r="Q57" s="684"/>
      <c r="R57" s="684"/>
      <c r="S57" s="684"/>
    </row>
    <row r="58" spans="1:26" hidden="1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hidden="1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2" t="s">
        <v>157</v>
      </c>
      <c r="K59" s="682"/>
      <c r="L59" s="682"/>
      <c r="M59" s="682"/>
      <c r="N59" s="682"/>
      <c r="O59" s="682"/>
      <c r="P59" s="682"/>
      <c r="Q59" s="682"/>
      <c r="R59" s="682" t="s">
        <v>158</v>
      </c>
      <c r="S59" s="673" t="s">
        <v>159</v>
      </c>
      <c r="U59" s="673" t="s">
        <v>160</v>
      </c>
      <c r="V59" s="673"/>
      <c r="W59" s="673"/>
      <c r="X59" s="681" t="s">
        <v>161</v>
      </c>
      <c r="Y59" s="681" t="s">
        <v>162</v>
      </c>
      <c r="Z59" s="681" t="s">
        <v>163</v>
      </c>
    </row>
    <row r="60" spans="1:26" ht="12.75" hidden="1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2"/>
      <c r="K60" s="682"/>
      <c r="L60" s="682"/>
      <c r="M60" s="682"/>
      <c r="N60" s="682"/>
      <c r="O60" s="682"/>
      <c r="P60" s="682"/>
      <c r="Q60" s="682"/>
      <c r="R60" s="682"/>
      <c r="S60" s="673"/>
      <c r="U60" s="673"/>
      <c r="V60" s="673"/>
      <c r="W60" s="673"/>
      <c r="X60" s="681"/>
      <c r="Y60" s="681"/>
      <c r="Z60" s="681"/>
    </row>
    <row r="61" spans="1:26" ht="15" hidden="1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1" t="str">
        <f>IF($J$17=$A$146,"Encargos Sociais incidentes sobre a mão de obra","Administração Central")</f>
        <v>Administração Central</v>
      </c>
      <c r="K61" s="671"/>
      <c r="L61" s="671"/>
      <c r="M61" s="671"/>
      <c r="N61" s="671"/>
      <c r="O61" s="671"/>
      <c r="P61" s="671"/>
      <c r="Q61" s="671"/>
      <c r="R61" s="77" t="str">
        <f>IF($J57=$A$146,"K1","AC")</f>
        <v>AC</v>
      </c>
      <c r="S61" s="78"/>
      <c r="U61" s="672" t="s">
        <v>165</v>
      </c>
      <c r="V61" s="672"/>
      <c r="W61" s="672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hidden="1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1" t="str">
        <f>IF($J$17=$A$146,"Administração Central da empresa ou consultoria - overhead","Seguro e Garantia")</f>
        <v>Seguro e Garantia</v>
      </c>
      <c r="K62" s="671"/>
      <c r="L62" s="671"/>
      <c r="M62" s="671"/>
      <c r="N62" s="671"/>
      <c r="O62" s="671"/>
      <c r="P62" s="671"/>
      <c r="Q62" s="671"/>
      <c r="R62" s="77" t="str">
        <f>IF($J57=$A$146,"K2","SG")</f>
        <v>SG</v>
      </c>
      <c r="S62" s="78"/>
      <c r="U62" s="672" t="s">
        <v>165</v>
      </c>
      <c r="V62" s="672"/>
      <c r="W62" s="672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hidden="1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1" t="str">
        <f>IF($J$17=$A$146,"","Risco")</f>
        <v>Risco</v>
      </c>
      <c r="K63" s="671"/>
      <c r="L63" s="671"/>
      <c r="M63" s="671"/>
      <c r="N63" s="671"/>
      <c r="O63" s="671"/>
      <c r="P63" s="671"/>
      <c r="Q63" s="671"/>
      <c r="R63" s="77" t="str">
        <f>IF($J57=$A$146,"","R")</f>
        <v>R</v>
      </c>
      <c r="S63" s="78"/>
      <c r="U63" s="672" t="s">
        <v>165</v>
      </c>
      <c r="V63" s="672"/>
      <c r="W63" s="672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hidden="1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1" t="str">
        <f>IF($J$17=$A$146,"","Despesas Financeiras")</f>
        <v>Despesas Financeiras</v>
      </c>
      <c r="K64" s="671"/>
      <c r="L64" s="671"/>
      <c r="M64" s="671"/>
      <c r="N64" s="671"/>
      <c r="O64" s="671"/>
      <c r="P64" s="671"/>
      <c r="Q64" s="671"/>
      <c r="R64" s="77" t="str">
        <f>IF($J57=$A$146,"","DF")</f>
        <v>DF</v>
      </c>
      <c r="S64" s="78"/>
      <c r="U64" s="672" t="s">
        <v>165</v>
      </c>
      <c r="V64" s="672"/>
      <c r="W64" s="672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hidden="1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1" t="str">
        <f>IF($J$17=$A$146,"Margem bruta da empresa de consultoria","Lucro")</f>
        <v>Lucro</v>
      </c>
      <c r="K65" s="671"/>
      <c r="L65" s="671"/>
      <c r="M65" s="671"/>
      <c r="N65" s="671"/>
      <c r="O65" s="671"/>
      <c r="P65" s="671"/>
      <c r="Q65" s="671"/>
      <c r="R65" s="77" t="str">
        <f>IF($J57=$A$146,"K3","L")</f>
        <v>L</v>
      </c>
      <c r="S65" s="78"/>
      <c r="U65" s="672" t="s">
        <v>165</v>
      </c>
      <c r="V65" s="672"/>
      <c r="W65" s="672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hidden="1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1" t="s">
        <v>167</v>
      </c>
      <c r="K66" s="671"/>
      <c r="L66" s="671"/>
      <c r="M66" s="671"/>
      <c r="N66" s="671"/>
      <c r="O66" s="671"/>
      <c r="P66" s="671"/>
      <c r="Q66" s="671"/>
      <c r="R66" s="77" t="s">
        <v>168</v>
      </c>
      <c r="S66" s="78"/>
      <c r="U66" s="672" t="s">
        <v>165</v>
      </c>
      <c r="V66" s="672"/>
      <c r="W66" s="672"/>
      <c r="X66" s="79">
        <v>3.6499999999999998E-2</v>
      </c>
      <c r="Y66" s="79">
        <v>3.6499999999999998E-2</v>
      </c>
      <c r="Z66" s="79">
        <v>3.6499999999999998E-2</v>
      </c>
    </row>
    <row r="67" spans="1:26" ht="15" hidden="1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1" t="s">
        <v>169</v>
      </c>
      <c r="K67" s="671"/>
      <c r="L67" s="671"/>
      <c r="M67" s="671"/>
      <c r="N67" s="671"/>
      <c r="O67" s="671"/>
      <c r="P67" s="671"/>
      <c r="Q67" s="671"/>
      <c r="R67" s="77" t="s">
        <v>170</v>
      </c>
      <c r="S67" s="79">
        <f ca="1">IF(AND($J57&lt;&gt;$A$145,COUNTA(OFFSET(S60,1,0,6))&gt;0),$R$11*$R$10,0)</f>
        <v>0</v>
      </c>
      <c r="U67" s="672" t="s">
        <v>165</v>
      </c>
      <c r="V67" s="672"/>
      <c r="W67" s="672"/>
      <c r="X67" s="79">
        <v>0</v>
      </c>
      <c r="Y67" s="79">
        <v>2.5000000000000001E-2</v>
      </c>
      <c r="Z67" s="79">
        <v>0.05</v>
      </c>
    </row>
    <row r="68" spans="1:26" ht="15" hidden="1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1" t="s">
        <v>171</v>
      </c>
      <c r="K68" s="671"/>
      <c r="L68" s="671"/>
      <c r="M68" s="671"/>
      <c r="N68" s="671"/>
      <c r="O68" s="671"/>
      <c r="P68" s="671"/>
      <c r="Q68" s="671"/>
      <c r="R68" s="77" t="s">
        <v>172</v>
      </c>
      <c r="S68" s="79">
        <f ca="1">IF(BDI.Opcao&lt;&gt;"Desonerado",0,IF(AND($J57&lt;&gt;$A$145,COUNTA(OFFSET(S60,1,0,6))&gt;0),4.5%,0%))</f>
        <v>0</v>
      </c>
      <c r="U68" s="672" t="s">
        <v>165</v>
      </c>
      <c r="V68" s="672"/>
      <c r="W68" s="672"/>
      <c r="X68" s="80">
        <v>0</v>
      </c>
      <c r="Y68" s="80">
        <v>4.4999999999999998E-2</v>
      </c>
      <c r="Z68" s="80">
        <v>4.4999999999999998E-2</v>
      </c>
    </row>
    <row r="69" spans="1:26" ht="15" hidden="1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1" t="s">
        <v>173</v>
      </c>
      <c r="K69" s="671"/>
      <c r="L69" s="671"/>
      <c r="M69" s="671"/>
      <c r="N69" s="671"/>
      <c r="O69" s="671"/>
      <c r="P69" s="671"/>
      <c r="Q69" s="671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hidden="1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4" t="s">
        <v>174</v>
      </c>
      <c r="K70" s="674"/>
      <c r="L70" s="674"/>
      <c r="M70" s="674"/>
      <c r="N70" s="674"/>
      <c r="O70" s="674"/>
      <c r="P70" s="674"/>
      <c r="Q70" s="674"/>
      <c r="R70" s="82" t="s">
        <v>175</v>
      </c>
      <c r="S70" s="83">
        <f ca="1">IF($J57=$A$145,0,ROUND((((1+S61+S62+S63)*(1+S64)*(1+S65)/(1-(S66+S67+S68)))-1),4))</f>
        <v>0</v>
      </c>
    </row>
    <row r="71" spans="1:26" ht="25.5" hidden="1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hidden="1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5" t="e">
        <f ca="1">IF(U69&lt;&gt;"ok","Anexo: Relatório Técnico Circunstanciado justificando a adoção do percentual de cada parcela do BDI.","")</f>
        <v>#N/A</v>
      </c>
      <c r="L72" s="675"/>
      <c r="M72" s="675"/>
      <c r="N72" s="675"/>
      <c r="O72" s="675"/>
      <c r="P72" s="675"/>
      <c r="Q72" s="675"/>
      <c r="R72" s="675"/>
      <c r="S72" s="675"/>
    </row>
    <row r="73" spans="1:26" hidden="1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hidden="1" x14ac:dyDescent="0.2">
      <c r="A74"/>
      <c r="B74"/>
      <c r="C74"/>
      <c r="D74"/>
      <c r="E74"/>
      <c r="F74"/>
      <c r="G74"/>
      <c r="I74" t="str">
        <f t="shared" ca="1" si="1"/>
        <v/>
      </c>
      <c r="J74" s="677" t="s">
        <v>177</v>
      </c>
      <c r="K74" s="677"/>
      <c r="L74" s="677"/>
      <c r="M74" s="677"/>
      <c r="N74" s="677"/>
      <c r="O74" s="677"/>
      <c r="P74" s="677"/>
      <c r="Q74" s="677"/>
      <c r="R74" s="677"/>
      <c r="S74" s="677"/>
    </row>
    <row r="75" spans="1:26" ht="15.75" hidden="1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8" t="s">
        <v>178</v>
      </c>
      <c r="N75" s="679" t="str">
        <f>IF($J57=$A$146,"(1+K1+K2)*(1+K3)","(1+AC + S + R + G)*(1 + DF)*(1+L)")</f>
        <v>(1+AC + S + R + G)*(1 + DF)*(1+L)</v>
      </c>
      <c r="O75" s="679"/>
      <c r="P75" s="679"/>
      <c r="Q75" s="680" t="s">
        <v>179</v>
      </c>
      <c r="R75" s="85"/>
      <c r="S75" s="85"/>
    </row>
    <row r="76" spans="1:26" ht="15.75" hidden="1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8"/>
      <c r="N76" s="670" t="s">
        <v>180</v>
      </c>
      <c r="O76" s="670"/>
      <c r="P76" s="670"/>
      <c r="Q76" s="680"/>
      <c r="R76" s="85"/>
      <c r="S76" s="85"/>
    </row>
    <row r="77" spans="1:26" ht="15" hidden="1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hidden="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4"/>
      <c r="L78" s="664"/>
      <c r="M78" s="664"/>
      <c r="N78" s="664"/>
      <c r="O78" s="664"/>
      <c r="P78" s="664"/>
      <c r="Q78" s="664"/>
      <c r="R78" s="664"/>
      <c r="S78" s="664"/>
    </row>
    <row r="79" spans="1:26" hidden="1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hidden="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4"/>
      <c r="L80" s="664"/>
      <c r="M80" s="664"/>
      <c r="N80" s="664"/>
      <c r="O80" s="664"/>
      <c r="P80" s="664"/>
      <c r="Q80" s="664"/>
      <c r="R80" s="664"/>
      <c r="S80" s="664"/>
    </row>
    <row r="81" spans="1:19" hidden="1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hidden="1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hidden="1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19" hidden="1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hidden="1" x14ac:dyDescent="0.2">
      <c r="A85"/>
      <c r="B85"/>
      <c r="C85"/>
      <c r="D85"/>
      <c r="E85"/>
      <c r="F85"/>
      <c r="G85"/>
      <c r="I85" t="str">
        <f t="shared" ca="1" si="1"/>
        <v/>
      </c>
      <c r="J85" s="666" t="str">
        <f>Import.Município</f>
        <v>CÉU AZUL</v>
      </c>
      <c r="K85" s="666"/>
      <c r="L85" s="666"/>
      <c r="M85" s="666"/>
      <c r="P85" s="667">
        <f>DADOS!$F$25</f>
        <v>45012</v>
      </c>
      <c r="Q85" s="667"/>
      <c r="R85" s="667"/>
      <c r="S85" s="667"/>
    </row>
    <row r="86" spans="1:19" hidden="1" x14ac:dyDescent="0.2">
      <c r="A86"/>
      <c r="B86"/>
      <c r="C86"/>
      <c r="D86"/>
      <c r="E86"/>
      <c r="F86"/>
      <c r="G86"/>
      <c r="I86" t="str">
        <f t="shared" ca="1" si="1"/>
        <v/>
      </c>
      <c r="J86" s="668" t="s">
        <v>187</v>
      </c>
      <c r="K86" s="668"/>
      <c r="L86" s="668"/>
      <c r="M86" s="668"/>
      <c r="O86" s="90"/>
      <c r="P86" s="91" t="s">
        <v>188</v>
      </c>
      <c r="Q86" s="92"/>
      <c r="R86" s="92"/>
      <c r="S86" s="92"/>
    </row>
    <row r="87" spans="1:19" ht="30" hidden="1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hidden="1" x14ac:dyDescent="0.2">
      <c r="A88"/>
      <c r="B88"/>
      <c r="C88"/>
      <c r="D88"/>
      <c r="E88"/>
      <c r="F88"/>
      <c r="G88"/>
      <c r="I88" t="str">
        <f t="shared" ca="1" si="1"/>
        <v/>
      </c>
      <c r="J88" s="669"/>
      <c r="K88" s="669"/>
      <c r="L88" s="669"/>
      <c r="M88" s="669"/>
      <c r="N88" s="93"/>
    </row>
    <row r="89" spans="1:19" hidden="1" x14ac:dyDescent="0.2">
      <c r="A89"/>
      <c r="B89"/>
      <c r="C89"/>
      <c r="D89"/>
      <c r="E89"/>
      <c r="F89"/>
      <c r="G89"/>
      <c r="I89" t="str">
        <f t="shared" ca="1" si="1"/>
        <v/>
      </c>
      <c r="J89" s="663" t="s">
        <v>189</v>
      </c>
      <c r="K89" s="663"/>
      <c r="L89" s="663"/>
      <c r="M89" s="663"/>
      <c r="N89" s="94"/>
    </row>
    <row r="90" spans="1:19" ht="14.25" hidden="1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GUSTAVO FRANCESCHINI</v>
      </c>
      <c r="L90" s="97"/>
      <c r="M90" s="97"/>
      <c r="N90" s="98"/>
    </row>
    <row r="91" spans="1:19" ht="14.25" hidden="1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126178/D</v>
      </c>
      <c r="L91" s="97"/>
      <c r="M91" s="97"/>
      <c r="N91" s="98"/>
    </row>
    <row r="92" spans="1:19" ht="14.25" hidden="1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 t="str">
        <v>1720231313229</v>
      </c>
      <c r="L92" s="97"/>
      <c r="M92" s="97"/>
      <c r="N92" s="98"/>
    </row>
    <row r="93" spans="1:19" ht="14.25" hidden="1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hidden="1" x14ac:dyDescent="0.25">
      <c r="A94"/>
      <c r="B94"/>
      <c r="C94"/>
      <c r="D94"/>
      <c r="E94"/>
      <c r="F94"/>
      <c r="G94"/>
      <c r="I94" t="str">
        <f ca="1">IF($S$109=0,"","F")</f>
        <v/>
      </c>
      <c r="J94" s="685" t="s">
        <v>191</v>
      </c>
      <c r="K94" s="685"/>
      <c r="L94" s="685"/>
      <c r="M94" s="685"/>
      <c r="N94" s="685"/>
      <c r="O94" s="685"/>
      <c r="P94" s="685"/>
      <c r="Q94" s="685"/>
      <c r="R94" s="685"/>
      <c r="S94" s="685"/>
    </row>
    <row r="95" spans="1:19" hidden="1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hidden="1" x14ac:dyDescent="0.2">
      <c r="A96"/>
      <c r="B96"/>
      <c r="C96"/>
      <c r="D96"/>
      <c r="E96"/>
      <c r="F96"/>
      <c r="G96"/>
      <c r="I96" t="str">
        <f t="shared" ca="1" si="2"/>
        <v/>
      </c>
      <c r="J96" s="683" t="s">
        <v>156</v>
      </c>
      <c r="K96" s="683"/>
      <c r="L96" s="683"/>
      <c r="M96" s="683"/>
      <c r="N96" s="683"/>
      <c r="O96" s="683"/>
      <c r="P96" s="683"/>
      <c r="Q96" s="683"/>
      <c r="R96" s="683"/>
      <c r="S96" s="683"/>
    </row>
    <row r="97" spans="1:26" hidden="1" x14ac:dyDescent="0.2">
      <c r="A97"/>
      <c r="B97"/>
      <c r="C97"/>
      <c r="D97"/>
      <c r="E97"/>
      <c r="F97"/>
      <c r="G97"/>
      <c r="I97" t="str">
        <f t="shared" ca="1" si="2"/>
        <v/>
      </c>
      <c r="J97" s="684" t="s">
        <v>408</v>
      </c>
      <c r="K97" s="684"/>
      <c r="L97" s="684"/>
      <c r="M97" s="684"/>
      <c r="N97" s="684"/>
      <c r="O97" s="684"/>
      <c r="P97" s="684"/>
      <c r="Q97" s="684"/>
      <c r="R97" s="684"/>
      <c r="S97" s="684"/>
    </row>
    <row r="98" spans="1:26" hidden="1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hidden="1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2" t="s">
        <v>157</v>
      </c>
      <c r="K99" s="682"/>
      <c r="L99" s="682"/>
      <c r="M99" s="682"/>
      <c r="N99" s="682"/>
      <c r="O99" s="682"/>
      <c r="P99" s="682"/>
      <c r="Q99" s="682"/>
      <c r="R99" s="682" t="s">
        <v>158</v>
      </c>
      <c r="S99" s="673" t="s">
        <v>159</v>
      </c>
      <c r="U99" s="673" t="s">
        <v>160</v>
      </c>
      <c r="V99" s="673"/>
      <c r="W99" s="673"/>
      <c r="X99" s="681" t="s">
        <v>161</v>
      </c>
      <c r="Y99" s="681" t="s">
        <v>162</v>
      </c>
      <c r="Z99" s="681" t="s">
        <v>163</v>
      </c>
    </row>
    <row r="100" spans="1:26" ht="12.75" hidden="1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2"/>
      <c r="K100" s="682"/>
      <c r="L100" s="682"/>
      <c r="M100" s="682"/>
      <c r="N100" s="682"/>
      <c r="O100" s="682"/>
      <c r="P100" s="682"/>
      <c r="Q100" s="682"/>
      <c r="R100" s="682"/>
      <c r="S100" s="673"/>
      <c r="U100" s="673"/>
      <c r="V100" s="673"/>
      <c r="W100" s="673"/>
      <c r="X100" s="681"/>
      <c r="Y100" s="681"/>
      <c r="Z100" s="681"/>
    </row>
    <row r="101" spans="1:26" ht="15" hidden="1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1" t="str">
        <f>IF($J$17=$A$146,"Encargos Sociais incidentes sobre a mão de obra","Administração Central")</f>
        <v>Administração Central</v>
      </c>
      <c r="K101" s="671"/>
      <c r="L101" s="671"/>
      <c r="M101" s="671"/>
      <c r="N101" s="671"/>
      <c r="O101" s="671"/>
      <c r="P101" s="671"/>
      <c r="Q101" s="671"/>
      <c r="R101" s="77" t="str">
        <f>IF($J97=$A$146,"K1","AC")</f>
        <v>AC</v>
      </c>
      <c r="S101" s="78"/>
      <c r="U101" s="672" t="s">
        <v>165</v>
      </c>
      <c r="V101" s="672"/>
      <c r="W101" s="672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hidden="1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1" t="str">
        <f>IF($J$17=$A$146,"Administração Central da empresa ou consultoria - overhead","Seguro e Garantia")</f>
        <v>Seguro e Garantia</v>
      </c>
      <c r="K102" s="671"/>
      <c r="L102" s="671"/>
      <c r="M102" s="671"/>
      <c r="N102" s="671"/>
      <c r="O102" s="671"/>
      <c r="P102" s="671"/>
      <c r="Q102" s="671"/>
      <c r="R102" s="77" t="str">
        <f>IF($J97=$A$146,"K2","SG")</f>
        <v>SG</v>
      </c>
      <c r="S102" s="78"/>
      <c r="U102" s="672" t="s">
        <v>165</v>
      </c>
      <c r="V102" s="672"/>
      <c r="W102" s="672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hidden="1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1" t="str">
        <f>IF($J$17=$A$146,"","Risco")</f>
        <v>Risco</v>
      </c>
      <c r="K103" s="671"/>
      <c r="L103" s="671"/>
      <c r="M103" s="671"/>
      <c r="N103" s="671"/>
      <c r="O103" s="671"/>
      <c r="P103" s="671"/>
      <c r="Q103" s="671"/>
      <c r="R103" s="77" t="str">
        <f>IF($J97=$A$146,"","R")</f>
        <v>R</v>
      </c>
      <c r="S103" s="78"/>
      <c r="U103" s="672" t="s">
        <v>165</v>
      </c>
      <c r="V103" s="672"/>
      <c r="W103" s="672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hidden="1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1" t="str">
        <f>IF($J$17=$A$146,"","Despesas Financeiras")</f>
        <v>Despesas Financeiras</v>
      </c>
      <c r="K104" s="671"/>
      <c r="L104" s="671"/>
      <c r="M104" s="671"/>
      <c r="N104" s="671"/>
      <c r="O104" s="671"/>
      <c r="P104" s="671"/>
      <c r="Q104" s="671"/>
      <c r="R104" s="77" t="str">
        <f>IF($J97=$A$146,"","DF")</f>
        <v>DF</v>
      </c>
      <c r="S104" s="78"/>
      <c r="U104" s="672" t="s">
        <v>165</v>
      </c>
      <c r="V104" s="672"/>
      <c r="W104" s="672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hidden="1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1" t="str">
        <f>IF($J$17=$A$146,"Margem bruta da empresa de consultoria","Lucro")</f>
        <v>Lucro</v>
      </c>
      <c r="K105" s="671"/>
      <c r="L105" s="671"/>
      <c r="M105" s="671"/>
      <c r="N105" s="671"/>
      <c r="O105" s="671"/>
      <c r="P105" s="671"/>
      <c r="Q105" s="671"/>
      <c r="R105" s="77" t="str">
        <f>IF($J97=$A$146,"K3","L")</f>
        <v>L</v>
      </c>
      <c r="S105" s="78"/>
      <c r="U105" s="672" t="s">
        <v>165</v>
      </c>
      <c r="V105" s="672"/>
      <c r="W105" s="672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hidden="1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1" t="s">
        <v>167</v>
      </c>
      <c r="K106" s="671"/>
      <c r="L106" s="671"/>
      <c r="M106" s="671"/>
      <c r="N106" s="671"/>
      <c r="O106" s="671"/>
      <c r="P106" s="671"/>
      <c r="Q106" s="671"/>
      <c r="R106" s="77" t="s">
        <v>168</v>
      </c>
      <c r="S106" s="78"/>
      <c r="U106" s="672" t="s">
        <v>165</v>
      </c>
      <c r="V106" s="672"/>
      <c r="W106" s="672"/>
      <c r="X106" s="79">
        <v>3.6499999999999998E-2</v>
      </c>
      <c r="Y106" s="79">
        <v>3.6499999999999998E-2</v>
      </c>
      <c r="Z106" s="79">
        <v>3.6499999999999998E-2</v>
      </c>
    </row>
    <row r="107" spans="1:26" ht="15" hidden="1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1" t="s">
        <v>169</v>
      </c>
      <c r="K107" s="671"/>
      <c r="L107" s="671"/>
      <c r="M107" s="671"/>
      <c r="N107" s="671"/>
      <c r="O107" s="671"/>
      <c r="P107" s="671"/>
      <c r="Q107" s="671"/>
      <c r="R107" s="77" t="s">
        <v>170</v>
      </c>
      <c r="S107" s="79">
        <f ca="1">IF(AND($J97&lt;&gt;$A$145,COUNTA(OFFSET(S100,1,0,6))&gt;0),$R$11*$R$10,0)</f>
        <v>0</v>
      </c>
      <c r="U107" s="672" t="s">
        <v>165</v>
      </c>
      <c r="V107" s="672"/>
      <c r="W107" s="672"/>
      <c r="X107" s="79">
        <v>0</v>
      </c>
      <c r="Y107" s="79">
        <v>2.5000000000000001E-2</v>
      </c>
      <c r="Z107" s="79">
        <v>0.05</v>
      </c>
    </row>
    <row r="108" spans="1:26" ht="15" hidden="1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1" t="s">
        <v>171</v>
      </c>
      <c r="K108" s="671"/>
      <c r="L108" s="671"/>
      <c r="M108" s="671"/>
      <c r="N108" s="671"/>
      <c r="O108" s="671"/>
      <c r="P108" s="671"/>
      <c r="Q108" s="671"/>
      <c r="R108" s="77" t="s">
        <v>172</v>
      </c>
      <c r="S108" s="79">
        <f ca="1">IF(BDI.Opcao&lt;&gt;"Desonerado",0,IF(AND($J97&lt;&gt;$A$145,COUNTA(OFFSET(S100,1,0,6))&gt;0),4.5%,0%))</f>
        <v>0</v>
      </c>
      <c r="U108" s="672" t="s">
        <v>165</v>
      </c>
      <c r="V108" s="672"/>
      <c r="W108" s="672"/>
      <c r="X108" s="80">
        <v>0</v>
      </c>
      <c r="Y108" s="80">
        <v>4.4999999999999998E-2</v>
      </c>
      <c r="Z108" s="80">
        <v>4.4999999999999998E-2</v>
      </c>
    </row>
    <row r="109" spans="1:26" ht="15" hidden="1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1" t="s">
        <v>173</v>
      </c>
      <c r="K109" s="671"/>
      <c r="L109" s="671"/>
      <c r="M109" s="671"/>
      <c r="N109" s="671"/>
      <c r="O109" s="671"/>
      <c r="P109" s="671"/>
      <c r="Q109" s="671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hidden="1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4" t="s">
        <v>174</v>
      </c>
      <c r="K110" s="674"/>
      <c r="L110" s="674"/>
      <c r="M110" s="674"/>
      <c r="N110" s="674"/>
      <c r="O110" s="674"/>
      <c r="P110" s="674"/>
      <c r="Q110" s="674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hidden="1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hidden="1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5" t="e">
        <f ca="1">IF(U109&lt;&gt;"ok","Anexo: Relatório Técnico Circunstanciado justificando a adoção do percentual de cada parcela do BDI.","")</f>
        <v>#N/A</v>
      </c>
      <c r="L112" s="675"/>
      <c r="M112" s="675"/>
      <c r="N112" s="675"/>
      <c r="O112" s="675"/>
      <c r="P112" s="675"/>
      <c r="Q112" s="675"/>
      <c r="R112" s="675"/>
      <c r="S112" s="675"/>
    </row>
    <row r="113" spans="1:19" hidden="1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hidden="1" x14ac:dyDescent="0.2">
      <c r="A114"/>
      <c r="B114"/>
      <c r="C114"/>
      <c r="D114"/>
      <c r="E114"/>
      <c r="F114"/>
      <c r="G114"/>
      <c r="I114" t="str">
        <f t="shared" ca="1" si="2"/>
        <v/>
      </c>
      <c r="J114" s="677" t="s">
        <v>177</v>
      </c>
      <c r="K114" s="677"/>
      <c r="L114" s="677"/>
      <c r="M114" s="677"/>
      <c r="N114" s="677"/>
      <c r="O114" s="677"/>
      <c r="P114" s="677"/>
      <c r="Q114" s="677"/>
      <c r="R114" s="677"/>
      <c r="S114" s="677"/>
    </row>
    <row r="115" spans="1:19" ht="15.75" hidden="1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8" t="s">
        <v>178</v>
      </c>
      <c r="N115" s="679" t="str">
        <f>IF($J97=$A$146,"(1+K1+K2)*(1+K3)","(1+AC + S + R + G)*(1 + DF)*(1+L)")</f>
        <v>(1+AC + S + R + G)*(1 + DF)*(1+L)</v>
      </c>
      <c r="O115" s="679"/>
      <c r="P115" s="679"/>
      <c r="Q115" s="680" t="s">
        <v>179</v>
      </c>
      <c r="R115" s="85"/>
      <c r="S115" s="85"/>
    </row>
    <row r="116" spans="1:19" ht="15.75" hidden="1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8"/>
      <c r="N116" s="670" t="s">
        <v>180</v>
      </c>
      <c r="O116" s="670"/>
      <c r="P116" s="670"/>
      <c r="Q116" s="680"/>
      <c r="R116" s="85"/>
      <c r="S116" s="85"/>
    </row>
    <row r="117" spans="1:19" ht="15" hidden="1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hidden="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4"/>
      <c r="L118" s="664"/>
      <c r="M118" s="664"/>
      <c r="N118" s="664"/>
      <c r="O118" s="664"/>
      <c r="P118" s="664"/>
      <c r="Q118" s="664"/>
      <c r="R118" s="664"/>
      <c r="S118" s="664"/>
    </row>
    <row r="119" spans="1:19" hidden="1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hidden="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4"/>
      <c r="L120" s="664"/>
      <c r="M120" s="664"/>
      <c r="N120" s="664"/>
      <c r="O120" s="664"/>
      <c r="P120" s="664"/>
      <c r="Q120" s="664"/>
      <c r="R120" s="664"/>
      <c r="S120" s="664"/>
    </row>
    <row r="121" spans="1:19" hidden="1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hidden="1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hidden="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19" hidden="1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hidden="1" x14ac:dyDescent="0.2">
      <c r="A125"/>
      <c r="B125"/>
      <c r="C125"/>
      <c r="D125"/>
      <c r="E125"/>
      <c r="F125"/>
      <c r="G125"/>
      <c r="I125" t="str">
        <f t="shared" ca="1" si="2"/>
        <v/>
      </c>
      <c r="J125" s="666" t="str">
        <f>Import.Município</f>
        <v>CÉU AZUL</v>
      </c>
      <c r="K125" s="666"/>
      <c r="L125" s="666"/>
      <c r="M125" s="666"/>
      <c r="P125" s="667">
        <f>DADOS!$F$25</f>
        <v>45012</v>
      </c>
      <c r="Q125" s="667"/>
      <c r="R125" s="667"/>
      <c r="S125" s="667"/>
    </row>
    <row r="126" spans="1:19" hidden="1" x14ac:dyDescent="0.2">
      <c r="A126"/>
      <c r="B126"/>
      <c r="C126"/>
      <c r="D126"/>
      <c r="E126"/>
      <c r="F126"/>
      <c r="G126"/>
      <c r="I126" t="str">
        <f t="shared" ca="1" si="2"/>
        <v/>
      </c>
      <c r="J126" s="668" t="s">
        <v>187</v>
      </c>
      <c r="K126" s="668"/>
      <c r="L126" s="668"/>
      <c r="M126" s="668"/>
      <c r="O126" s="90"/>
      <c r="P126" s="91" t="s">
        <v>188</v>
      </c>
      <c r="Q126" s="92"/>
      <c r="R126" s="92"/>
      <c r="S126" s="92"/>
    </row>
    <row r="127" spans="1:19" ht="30" hidden="1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hidden="1" x14ac:dyDescent="0.2">
      <c r="A128"/>
      <c r="B128"/>
      <c r="C128"/>
      <c r="D128"/>
      <c r="E128"/>
      <c r="F128"/>
      <c r="G128"/>
      <c r="I128" t="str">
        <f t="shared" ca="1" si="2"/>
        <v/>
      </c>
      <c r="J128" s="669"/>
      <c r="K128" s="669"/>
      <c r="L128" s="669"/>
      <c r="M128" s="669"/>
      <c r="N128" s="93"/>
    </row>
    <row r="129" spans="1:14" hidden="1" x14ac:dyDescent="0.2">
      <c r="A129"/>
      <c r="B129"/>
      <c r="C129"/>
      <c r="D129"/>
      <c r="E129"/>
      <c r="F129"/>
      <c r="G129"/>
      <c r="I129" t="str">
        <f t="shared" ca="1" si="2"/>
        <v/>
      </c>
      <c r="J129" s="663" t="s">
        <v>189</v>
      </c>
      <c r="K129" s="663"/>
      <c r="L129" s="663"/>
      <c r="M129" s="663"/>
      <c r="N129" s="94"/>
    </row>
    <row r="130" spans="1:14" ht="14.25" hidden="1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GUSTAVO FRANCESCHINI</v>
      </c>
      <c r="L130" s="97"/>
      <c r="M130" s="97"/>
      <c r="N130" s="98"/>
    </row>
    <row r="131" spans="1:14" ht="14.25" hidden="1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126178/D</v>
      </c>
      <c r="L131" s="97"/>
      <c r="M131" s="97"/>
      <c r="N131" s="98"/>
    </row>
    <row r="132" spans="1:14" ht="14.25" hidden="1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 t="str">
        <v>1720231313229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>
    <filterColumn colId="0">
      <customFilters>
        <customFilter operator="notEqual" val=" "/>
      </customFilters>
    </filterColumn>
  </autoFilter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T266" activePane="bottomRight" state="frozen"/>
      <selection activeCell="L1" sqref="L1"/>
      <selection pane="topRight" activeCell="T1" sqref="T1"/>
      <selection pane="bottomLeft" activeCell="L16" sqref="L16"/>
      <selection pane="bottomRight" activeCell="U36" sqref="U36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3" t="s">
        <v>440</v>
      </c>
      <c r="P4" s="683"/>
      <c r="Q4" s="112" t="s">
        <v>441</v>
      </c>
      <c r="R4" s="112" t="s">
        <v>146</v>
      </c>
      <c r="S4" s="683" t="s">
        <v>201</v>
      </c>
      <c r="T4" s="683"/>
      <c r="U4" s="683"/>
      <c r="V4" s="683"/>
      <c r="W4" s="683"/>
      <c r="X4" s="683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0.2656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6">
        <f>Import.CR</f>
        <v>0</v>
      </c>
      <c r="P5" s="686"/>
      <c r="Q5" s="118">
        <f>Import.SICONV</f>
        <v>0</v>
      </c>
      <c r="R5" s="119" t="str">
        <f>Import.Proponente</f>
        <v>MUNICÍPIO DE CÉU AZUL</v>
      </c>
      <c r="S5" s="686" t="str">
        <f>Import.Apelido</f>
        <v>EXECUÇÃO DE BASES PARA INSTALAÇÃO DE PARQUE ADAPTADO E ACADEMIA AO AR LIVRE</v>
      </c>
      <c r="T5" s="686"/>
      <c r="U5" s="686"/>
      <c r="V5" s="686"/>
      <c r="W5" s="686"/>
      <c r="X5" s="686"/>
      <c r="Y5" s="120"/>
      <c r="Z5" s="120"/>
      <c r="AA5" s="120"/>
      <c r="AB5" s="120"/>
      <c r="AC5" s="105"/>
      <c r="AE5" s="693" t="s">
        <v>199</v>
      </c>
      <c r="AF5" s="693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3" t="s">
        <v>203</v>
      </c>
      <c r="P7" s="683"/>
      <c r="Q7" s="112" t="s">
        <v>204</v>
      </c>
      <c r="R7" s="112" t="str">
        <f>IF(TIPOORCAMENTO="Licitado","NOME DA EMPRESA","DESCRIÇÃO DO LOTE")</f>
        <v>DESCRIÇÃO DO LOTE</v>
      </c>
      <c r="S7" s="694" t="str">
        <f>IF(TIPOORCAMENTO="Licitado","REGIME DE EXECUÇÃO","MUNICÍPIO / UF")</f>
        <v>MUNICÍPIO / UF</v>
      </c>
      <c r="T7" s="694"/>
      <c r="U7" s="694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7" t="s">
        <v>206</v>
      </c>
      <c r="AL7" s="695" t="s">
        <v>207</v>
      </c>
    </row>
    <row r="8" spans="1:40" ht="12.75" customHeight="1" x14ac:dyDescent="0.2">
      <c r="A8" s="115"/>
      <c r="B8" s="115"/>
      <c r="C8" s="115"/>
      <c r="D8" s="105"/>
      <c r="F8" s="698" t="str">
        <f ca="1">IF(LEN(INFO("release"))&gt;5,"'Referência "&amp;Excel_BuiltIn_Database&amp;".xls'#Banco.$a5:$a$65536","'[Referência "&amp;Excel_BuiltIn_Database&amp;".xls]Banco'!$a5:$a$65536")</f>
        <v>'[Referência 01-2023.xls]Banco'!$a5:$a$65536</v>
      </c>
      <c r="G8" s="698"/>
      <c r="H8" s="698"/>
      <c r="I8" s="698"/>
      <c r="J8" s="698"/>
      <c r="K8" s="698"/>
      <c r="L8" s="676" t="s">
        <v>208</v>
      </c>
      <c r="M8" s="105"/>
      <c r="N8" s="105"/>
      <c r="O8" s="686" t="str">
        <f ca="1">IF(ISERROR(INDIRECT($F$9)),"(N/D: 'Referência "&amp;Excel_BuiltIn_Database&amp;".xls)",INDIRECT($F$9))</f>
        <v>CURITIBA</v>
      </c>
      <c r="P8" s="686"/>
      <c r="Q8" s="129" t="str">
        <f ca="1">TEXT(Import.DataBase,"mm-aa")&amp;IF(DESONERACAO="Sim"," (DES.)"," (N DES.)")</f>
        <v>01-23 (DES.)</v>
      </c>
      <c r="R8" s="119" t="str">
        <f>IF(TIPOORCAMENTO="Licitado",Import.empresa,Import.DescLote)</f>
        <v>BASE EM CONCRETO ARMADO</v>
      </c>
      <c r="S8" s="699" t="str">
        <f>IF(TIPOORCAMENTO="Licitado",Import.RegimeExecução,Import.Município)</f>
        <v>CÉU AZUL</v>
      </c>
      <c r="T8" s="699"/>
      <c r="U8" s="699"/>
      <c r="V8" s="130" t="str">
        <f ca="1">IF(TIPOORCAMENTO="Licitado","",TEXT(F5,"0,00%"))</f>
        <v>26,56%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6" t="s">
        <v>209</v>
      </c>
      <c r="Z8" s="676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7"/>
      <c r="AL8" s="695"/>
      <c r="AN8" s="105"/>
    </row>
    <row r="9" spans="1:40" ht="12.75" customHeight="1" x14ac:dyDescent="0.2">
      <c r="A9" s="105"/>
      <c r="B9" s="105"/>
      <c r="C9" s="105"/>
      <c r="D9" s="105"/>
      <c r="F9" s="698" t="str">
        <f ca="1">IF(LEN(INFO("release"))&gt;5,"'Referência "&amp;Excel_BuiltIn_Database&amp;".xls'#Banco.$d$3","'[Referência "&amp;Excel_BuiltIn_Database&amp;".xls]Banco'!$d$3")</f>
        <v>'[Referência 01-2023.xls]Banco'!$d$3</v>
      </c>
      <c r="G9" s="698"/>
      <c r="H9" s="698"/>
      <c r="I9" s="698"/>
      <c r="J9" s="698"/>
      <c r="K9" s="698"/>
      <c r="L9" s="676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6"/>
      <c r="Z9" s="676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7"/>
      <c r="AL9" s="695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6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6"/>
      <c r="Z10" s="676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7"/>
      <c r="AL10" s="695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6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6"/>
      <c r="Z11" s="676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697"/>
      <c r="AL11" s="695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6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6"/>
      <c r="Z12" s="676"/>
      <c r="AA12" s="696" t="s">
        <v>215</v>
      </c>
      <c r="AB12" s="696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0.2656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1" t="str">
        <f>Import.DescLote</f>
        <v>BASE EM CONCRETO ARMADO</v>
      </c>
      <c r="P15" s="701"/>
      <c r="Q15" s="701"/>
      <c r="R15" s="701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20963.05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20963.05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20963.05</v>
      </c>
      <c r="AN15" s="619"/>
    </row>
    <row r="16" spans="1:40" ht="38.25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12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12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IF($C16="S",REFERENCIA.Descricao,"EXECUÇÃO DE BASE EM CONCRETO ARMADO PARA INSTALAÇÃO DE PARQUE ADAPTADO NA PRAÇA DA MATRIZ (DIMENSÃO 10,50 M x 10,00 M E COM e=12 CM)")</f>
        <v>EXECUÇÃO DE BASE EM CONCRETO ARMADO PARA INSTALAÇÃO DE PARQUE ADAPTADO NA PRAÇA DA MATRIZ (DIMENSÃO 10,50 M x 10,00 M E COM e=12 CM)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12491.86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12491.859999999999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0.2656</v>
      </c>
      <c r="AJ16" s="553"/>
      <c r="AL16" s="574"/>
      <c r="AM16" s="431">
        <f t="shared" ca="1" si="0"/>
        <v>12491.86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11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11</v>
      </c>
      <c r="K17" t="e">
        <f ca="1">IF(OR($C17="S",$C17=0),0,MATCH(OFFSET($D17,0,$C17)+IF($C17&lt;&gt;1,1,COUNTIF(QCI!$A$13:$A$24,ORÇAMENTO!E17)),OFFSET($D17,1,$C17,ROW($C$266)-ROW($C17)),0))</f>
        <v>#N/A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IF($C17="S",REFERENCIA.Descricao,"SERVIÇOS CONTRATADOS")</f>
        <v>SERVIÇOS CONTRATADOS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12491.86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12491.859999999999</v>
      </c>
      <c r="AB17" s="158">
        <f t="shared" ca="1" si="17"/>
        <v>0</v>
      </c>
      <c r="AC17" s="159" t="str">
        <f t="shared" ca="1" si="18"/>
        <v/>
      </c>
      <c r="AD17" s="105" t="str">
        <f ca="1">IF(C17&lt;=CRONO.NivelExibicao,MAX($AD$15:OFFSET(AD17,-1,0))+IF($C17&lt;&gt;1,1,MAX(1,COUNTIF(QCI!$A$13:$A$24,OFFSET($E17,-1,0)))),"")</f>
        <v/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0.2656</v>
      </c>
      <c r="AJ17" s="553"/>
      <c r="AL17" s="574"/>
      <c r="AM17" s="431">
        <f t="shared" ca="1" si="0"/>
        <v>12491.86</v>
      </c>
      <c r="AN17" s="617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464</v>
      </c>
      <c r="Q18" s="149" t="s">
        <v>465</v>
      </c>
      <c r="R18" s="150" t="str">
        <f t="shared" ref="R18:R79" ca="1" si="24">IF($C18="S",REFERENCIA.Descricao,"(digite a descrição aqui)")</f>
        <v>PLACA DE OBRA EM CHAPA GALVANIZADA *N. 22*, ADESIVADA, DE *2,4 X 1,2* M INCLUSIVE ESTRUTURA DE FIXAÇÃO</v>
      </c>
      <c r="S18" s="151" t="str">
        <f t="shared" ca="1" si="13"/>
        <v xml:space="preserve">UN </v>
      </c>
      <c r="T18" s="152">
        <f ca="1">OFFSET(CÁLCULO!H$15,ROW($T18)-ROW(T$15),0)</f>
        <v>1</v>
      </c>
      <c r="U18" s="153">
        <v>491.28</v>
      </c>
      <c r="V18" s="154" t="s">
        <v>155</v>
      </c>
      <c r="W18" s="152">
        <f t="shared" ca="1" si="14"/>
        <v>621.76</v>
      </c>
      <c r="X18" s="155">
        <f t="shared" ca="1" si="15"/>
        <v>621.76</v>
      </c>
      <c r="Y18" s="156" t="s">
        <v>168</v>
      </c>
      <c r="Z18" t="str">
        <f t="shared" ca="1" si="16"/>
        <v>CP</v>
      </c>
      <c r="AA18" s="157">
        <f ca="1">IF($C18="S",IF($Z18="CP",$X18,IF($Z18="RA",(($X18)*QCI!$AA$3),0)),SomaAgrup)</f>
        <v>621.76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PMCA 4813</v>
      </c>
      <c r="AF18" s="160">
        <f t="shared" ca="1" si="20"/>
        <v>3</v>
      </c>
      <c r="AG18" s="550">
        <f t="shared" ca="1" si="21"/>
        <v>491.28</v>
      </c>
      <c r="AH18" s="551">
        <f t="shared" ca="1" si="22"/>
        <v>0.2656</v>
      </c>
      <c r="AJ18" s="553">
        <v>1</v>
      </c>
      <c r="AL18" s="574"/>
      <c r="AM18" s="431">
        <f t="shared" ca="1" si="0"/>
        <v>621.76</v>
      </c>
      <c r="AN18" s="617">
        <f t="shared" ca="1" si="23"/>
        <v>621.76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464</v>
      </c>
      <c r="Q19" s="149" t="s">
        <v>466</v>
      </c>
      <c r="R19" s="150" t="str">
        <f t="shared" ca="1" si="24"/>
        <v>FABRICAÇÃO, MONTAGEM E DESMONTAGEM DE FÔRMA PARA DELIMITAÇÃO DO PISO DE CONCRETO, ESPESSURA DE 2,50 CM</v>
      </c>
      <c r="S19" s="151" t="str">
        <f t="shared" ca="1" si="13"/>
        <v xml:space="preserve">M2    </v>
      </c>
      <c r="T19" s="152">
        <f ca="1">OFFSET(CÁLCULO!H$15,ROW($T19)-ROW(T$15),0)</f>
        <v>6.15</v>
      </c>
      <c r="U19" s="153">
        <v>132.44999999999999</v>
      </c>
      <c r="V19" s="154" t="s">
        <v>155</v>
      </c>
      <c r="W19" s="152">
        <f t="shared" ca="1" si="14"/>
        <v>167.63</v>
      </c>
      <c r="X19" s="155">
        <f t="shared" ca="1" si="15"/>
        <v>1030.92</v>
      </c>
      <c r="Y19" s="156" t="s">
        <v>168</v>
      </c>
      <c r="Z19" t="str">
        <f t="shared" ca="1" si="16"/>
        <v>CP</v>
      </c>
      <c r="AA19" s="157">
        <f ca="1">IF($C19="S",IF($Z19="CP",$X19,IF($Z19="RA",(($X19)*QCI!$AA$3),0)),SomaAgrup)</f>
        <v>1030.92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PMCA 96533</v>
      </c>
      <c r="AF19" s="160">
        <f t="shared" ca="1" si="20"/>
        <v>18</v>
      </c>
      <c r="AG19" s="550">
        <f t="shared" ca="1" si="21"/>
        <v>132.44999999999999</v>
      </c>
      <c r="AH19" s="551">
        <f t="shared" ca="1" si="22"/>
        <v>0.2656</v>
      </c>
      <c r="AJ19" s="553">
        <f>(10+10+10.5+10.5)*0.15</f>
        <v>6.1499999999999995</v>
      </c>
      <c r="AL19" s="574"/>
      <c r="AM19" s="431">
        <f t="shared" ca="1" si="0"/>
        <v>1030.92</v>
      </c>
      <c r="AN19" s="617">
        <f t="shared" ca="1" si="23"/>
        <v>167.63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2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/>
      </c>
      <c r="M20" s="145" t="s">
        <v>198</v>
      </c>
      <c r="N20" s="146" t="str">
        <f t="shared" ca="1" si="11"/>
        <v>Serviço</v>
      </c>
      <c r="O20" s="147" t="str">
        <f t="shared" ca="1" si="12"/>
        <v>-</v>
      </c>
      <c r="P20" s="148" t="s">
        <v>464</v>
      </c>
      <c r="Q20" s="149"/>
      <c r="R20" s="150" t="str">
        <f t="shared" ca="1" si="24"/>
        <v>(Sem Código)</v>
      </c>
      <c r="S20" s="151" t="str">
        <f t="shared" ca="1" si="13"/>
        <v>-</v>
      </c>
      <c r="T20" s="152">
        <f ca="1">OFFSET(CÁLCULO!H$15,ROW($T20)-ROW(T$15),0)</f>
        <v>0</v>
      </c>
      <c r="U20" s="153"/>
      <c r="V20" s="154" t="s">
        <v>155</v>
      </c>
      <c r="W20" s="152">
        <f t="shared" ca="1" si="14"/>
        <v>0</v>
      </c>
      <c r="X20" s="155">
        <f t="shared" ca="1" si="15"/>
        <v>0</v>
      </c>
      <c r="Y20" s="156" t="s">
        <v>168</v>
      </c>
      <c r="Z20" t="str">
        <f t="shared" ca="1" si="16"/>
        <v/>
      </c>
      <c r="AA20" s="157">
        <f ca="1">IF($C20="S",IF($Z20="CP",$X20,IF($Z20="RA",(($X20)*QCI!$AA$3),0)),SomaAgrup)</f>
        <v>0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b">
        <f t="shared" ca="1" si="19"/>
        <v>0</v>
      </c>
      <c r="AF20" s="160" t="str">
        <f t="shared" ca="1" si="20"/>
        <v>(Sem Código)</v>
      </c>
      <c r="AG20" s="550">
        <f t="shared" ca="1" si="21"/>
        <v>0</v>
      </c>
      <c r="AH20" s="551">
        <f t="shared" ca="1" si="22"/>
        <v>0.2656</v>
      </c>
      <c r="AJ20" s="553">
        <f>(10.5*10)*0.03</f>
        <v>3.15</v>
      </c>
      <c r="AL20" s="574"/>
      <c r="AM20" s="431">
        <f t="shared" ca="1" si="0"/>
        <v>0</v>
      </c>
      <c r="AN20" s="617">
        <f t="shared" ca="1" si="23"/>
        <v>0</v>
      </c>
    </row>
    <row r="21" spans="1:40" ht="38.2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3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>F</v>
      </c>
      <c r="M21" s="145" t="s">
        <v>198</v>
      </c>
      <c r="N21" s="146" t="str">
        <f t="shared" ca="1" si="11"/>
        <v>Serviço</v>
      </c>
      <c r="O21" s="147" t="str">
        <f t="shared" ca="1" si="12"/>
        <v>1.1.3.</v>
      </c>
      <c r="P21" s="148" t="s">
        <v>246</v>
      </c>
      <c r="Q21" s="149" t="s">
        <v>469</v>
      </c>
      <c r="R21" s="150" t="str">
        <f t="shared" ca="1" si="24"/>
        <v>COMPACTAÇÃO MECÂNICA DE SOLO PARA EXECUÇÃO DE RADIER, PISO DE CONCRETO OU LAJE SOBRE SOLO, COM COMPACTADOR DE SOLOS A PERCUSSÃO. AF_09/2021</v>
      </c>
      <c r="S21" s="151" t="str">
        <f t="shared" ca="1" si="13"/>
        <v>M2</v>
      </c>
      <c r="T21" s="152">
        <f ca="1">OFFSET(CÁLCULO!H$15,ROW($T21)-ROW(T$15),0)</f>
        <v>105</v>
      </c>
      <c r="U21" s="153">
        <v>3.51</v>
      </c>
      <c r="V21" s="154" t="s">
        <v>155</v>
      </c>
      <c r="W21" s="152">
        <f t="shared" ca="1" si="14"/>
        <v>4.4400000000000004</v>
      </c>
      <c r="X21" s="155">
        <f t="shared" ca="1" si="15"/>
        <v>466.2</v>
      </c>
      <c r="Y21" s="156" t="s">
        <v>168</v>
      </c>
      <c r="Z21" t="str">
        <f t="shared" ca="1" si="16"/>
        <v>CP</v>
      </c>
      <c r="AA21" s="157">
        <f ca="1">IF($C21="S",IF($Z21="CP",$X21,IF($Z21="RA",(($X21)*QCI!$AA$3),0)),SomaAgrup)</f>
        <v>466.2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str">
        <f t="shared" ca="1" si="19"/>
        <v>SINAPI 97083</v>
      </c>
      <c r="AF21" s="160">
        <f t="shared" ca="1" si="20"/>
        <v>2206</v>
      </c>
      <c r="AG21" s="550">
        <f t="shared" ca="1" si="21"/>
        <v>3.51</v>
      </c>
      <c r="AH21" s="551">
        <f t="shared" ca="1" si="22"/>
        <v>0.2656</v>
      </c>
      <c r="AJ21" s="553">
        <v>105</v>
      </c>
      <c r="AL21" s="574"/>
      <c r="AM21" s="431">
        <f t="shared" ca="1" si="0"/>
        <v>466.2</v>
      </c>
      <c r="AN21" s="617">
        <f t="shared" ca="1" si="23"/>
        <v>4.4400000000000004</v>
      </c>
    </row>
    <row r="22" spans="1:40" ht="38.25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4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4" t="str">
        <f t="shared" ca="1" si="10"/>
        <v>F</v>
      </c>
      <c r="M22" s="145" t="s">
        <v>198</v>
      </c>
      <c r="N22" s="146" t="str">
        <f t="shared" ca="1" si="11"/>
        <v>Serviço</v>
      </c>
      <c r="O22" s="147" t="str">
        <f t="shared" ca="1" si="12"/>
        <v>1.1.4.</v>
      </c>
      <c r="P22" s="148" t="s">
        <v>464</v>
      </c>
      <c r="Q22" s="149" t="s">
        <v>467</v>
      </c>
      <c r="R22" s="150" t="str">
        <f ca="1">IF($C22="S",REFERENCIA.Descricao,"(digite a descrição aqui)")</f>
        <v>LASTRO DE MATERIAL GRANULAR COMPACTADO (PEDRA BRITADA N.2) APLICADO EM PISOSS OU LAJES SOBRE O SOLO, ESPESSURA DE 3,00 CM</v>
      </c>
      <c r="S22" s="151" t="str">
        <f t="shared" ca="1" si="13"/>
        <v xml:space="preserve">M3    </v>
      </c>
      <c r="T22" s="152">
        <f ca="1">OFFSET(CÁLCULO!H$15,ROW($T22)-ROW(T$15),0)</f>
        <v>3.15</v>
      </c>
      <c r="U22" s="153">
        <v>107.4</v>
      </c>
      <c r="V22" s="154" t="s">
        <v>155</v>
      </c>
      <c r="W22" s="152">
        <f t="shared" ca="1" si="14"/>
        <v>135.93</v>
      </c>
      <c r="X22" s="155">
        <f t="shared" ca="1" si="15"/>
        <v>428.18</v>
      </c>
      <c r="Y22" s="156" t="s">
        <v>168</v>
      </c>
      <c r="Z22" t="str">
        <f t="shared" ca="1" si="16"/>
        <v>CP</v>
      </c>
      <c r="AA22" s="157">
        <f ca="1">IF($C22="S",IF($Z22="CP",$X22,IF($Z22="RA",(($X22)*QCI!$AA$3),0)),SomaAgrup)</f>
        <v>428.18</v>
      </c>
      <c r="AB22" s="158">
        <f t="shared" ca="1" si="17"/>
        <v>0</v>
      </c>
      <c r="AC22" s="159" t="str">
        <f t="shared" ca="1" si="18"/>
        <v/>
      </c>
      <c r="AD22" s="105" t="str">
        <f ca="1">IF(C22&lt;=CRONO.NivelExibicao,MAX($AD$15:OFFSET(AD22,-1,0))+IF($C22&lt;&gt;1,1,MAX(1,COUNTIF(QCI!$A$13:$A$24,OFFSET($E22,-1,0)))),"")</f>
        <v/>
      </c>
      <c r="AE22" s="115" t="str">
        <f t="shared" ca="1" si="19"/>
        <v>PMCA 96624</v>
      </c>
      <c r="AF22" s="160">
        <f t="shared" ca="1" si="20"/>
        <v>19</v>
      </c>
      <c r="AG22" s="550">
        <f t="shared" ca="1" si="21"/>
        <v>107.4</v>
      </c>
      <c r="AH22" s="551">
        <f t="shared" ca="1" si="22"/>
        <v>0.2656</v>
      </c>
      <c r="AJ22" s="553">
        <v>3.15</v>
      </c>
      <c r="AL22" s="574"/>
      <c r="AM22" s="431">
        <f t="shared" ca="1" si="0"/>
        <v>428.18</v>
      </c>
      <c r="AN22" s="617">
        <f t="shared" ca="1" si="23"/>
        <v>135.93</v>
      </c>
    </row>
    <row r="23" spans="1:40" ht="5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5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>F</v>
      </c>
      <c r="M23" s="145" t="s">
        <v>198</v>
      </c>
      <c r="N23" s="146" t="str">
        <f t="shared" ca="1" si="11"/>
        <v>Serviço</v>
      </c>
      <c r="O23" s="147" t="str">
        <f t="shared" ca="1" si="12"/>
        <v>1.1.5.</v>
      </c>
      <c r="P23" s="148" t="s">
        <v>464</v>
      </c>
      <c r="Q23" s="149" t="s">
        <v>468</v>
      </c>
      <c r="R23" s="150" t="str">
        <f t="shared" ca="1" si="24"/>
        <v>CONCRETAGEM DE PISO DE CONCRETO USINADO FCK 20 MPA - BOMBEAMENTO, LANÇAMENTO, ADENSAMENTO E ACABAMENTO - INCLUSIVE JUNTAS DE DILATAÇÃO E INSTALAÇÃO E FORNECIMENTO DE CHUMBADORES</v>
      </c>
      <c r="S23" s="151" t="str">
        <f t="shared" ca="1" si="13"/>
        <v xml:space="preserve">M3    </v>
      </c>
      <c r="T23" s="152">
        <f ca="1">OFFSET(CÁLCULO!H$15,ROW($T23)-ROW(T$15),0)</f>
        <v>12.6</v>
      </c>
      <c r="U23" s="153">
        <v>487.14</v>
      </c>
      <c r="V23" s="154" t="s">
        <v>155</v>
      </c>
      <c r="W23" s="152">
        <f t="shared" ca="1" si="14"/>
        <v>616.52</v>
      </c>
      <c r="X23" s="155">
        <f t="shared" ca="1" si="15"/>
        <v>7768.15</v>
      </c>
      <c r="Y23" s="156" t="s">
        <v>168</v>
      </c>
      <c r="Z23" t="str">
        <f t="shared" ca="1" si="16"/>
        <v>CP</v>
      </c>
      <c r="AA23" s="157">
        <f ca="1">IF($C23="S",IF($Z23="CP",$X23,IF($Z23="RA",(($X23)*QCI!$AA$3),0)),SomaAgrup)</f>
        <v>7768.15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str">
        <f t="shared" ca="1" si="19"/>
        <v>PMCA 97096</v>
      </c>
      <c r="AF23" s="160">
        <f t="shared" ca="1" si="20"/>
        <v>20</v>
      </c>
      <c r="AG23" s="550">
        <f t="shared" ca="1" si="21"/>
        <v>487.14</v>
      </c>
      <c r="AH23" s="551">
        <f t="shared" ca="1" si="22"/>
        <v>0.2656</v>
      </c>
      <c r="AJ23" s="553">
        <v>12.6</v>
      </c>
      <c r="AL23" s="574"/>
      <c r="AM23" s="431">
        <f t="shared" ca="1" si="0"/>
        <v>7768.15</v>
      </c>
      <c r="AN23" s="617">
        <f t="shared" ca="1" si="23"/>
        <v>616.52</v>
      </c>
    </row>
    <row r="24" spans="1:40" ht="38.25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6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1.1.6.</v>
      </c>
      <c r="P24" s="148" t="s">
        <v>443</v>
      </c>
      <c r="Q24" s="149" t="s">
        <v>444</v>
      </c>
      <c r="R24" s="150" t="str">
        <f t="shared" ca="1" si="24"/>
        <v>TELA DE ACO SOLDADA NERVURADA, CA-60, Q-92, (1,48 KG/M2), DIAMETRO DO FIO = 4,2 MM, LARGURA = 2,45 X 60 M DE COMPRIMENTO, ESPACAMENTO DA MALHA = 15  X 15 CM</v>
      </c>
      <c r="S24" s="151" t="str">
        <f t="shared" ca="1" si="13"/>
        <v xml:space="preserve">M2    </v>
      </c>
      <c r="T24" s="152">
        <f ca="1">OFFSET(CÁLCULO!H$15,ROW($T24)-ROW(T$15),0)</f>
        <v>105</v>
      </c>
      <c r="U24" s="153">
        <v>16.38</v>
      </c>
      <c r="V24" s="154" t="s">
        <v>155</v>
      </c>
      <c r="W24" s="152">
        <f t="shared" ca="1" si="14"/>
        <v>20.73</v>
      </c>
      <c r="X24" s="155">
        <f t="shared" ca="1" si="15"/>
        <v>2176.65</v>
      </c>
      <c r="Y24" s="156" t="s">
        <v>168</v>
      </c>
      <c r="Z24" t="str">
        <f t="shared" ca="1" si="16"/>
        <v>CP</v>
      </c>
      <c r="AA24" s="157">
        <f ca="1">IF($C24="S",IF($Z24="CP",$X24,IF($Z24="RA",(($X24)*QCI!$AA$3),0)),SomaAgrup)</f>
        <v>2176.65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SINAPI-I 21141</v>
      </c>
      <c r="AF24" s="160">
        <f t="shared" ca="1" si="20"/>
        <v>11755</v>
      </c>
      <c r="AG24" s="550">
        <f t="shared" ca="1" si="21"/>
        <v>16.38</v>
      </c>
      <c r="AH24" s="551">
        <f t="shared" ca="1" si="22"/>
        <v>0.2656</v>
      </c>
      <c r="AJ24" s="553">
        <v>105</v>
      </c>
      <c r="AL24" s="574"/>
      <c r="AM24" s="431">
        <f t="shared" ca="1" si="0"/>
        <v>2176.65</v>
      </c>
      <c r="AN24" s="617">
        <f t="shared" ca="1" si="23"/>
        <v>20.73</v>
      </c>
    </row>
    <row r="25" spans="1:40" hidden="1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6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/>
      </c>
      <c r="M25" s="145" t="s">
        <v>198</v>
      </c>
      <c r="N25" s="146" t="str">
        <f t="shared" ca="1" si="11"/>
        <v>Serviço</v>
      </c>
      <c r="O25" s="147" t="str">
        <f t="shared" ca="1" si="12"/>
        <v>-</v>
      </c>
      <c r="P25" s="148" t="s">
        <v>246</v>
      </c>
      <c r="Q25" s="149"/>
      <c r="R25" s="150" t="str">
        <f t="shared" ca="1" si="24"/>
        <v>(Sem Código)</v>
      </c>
      <c r="S25" s="151" t="str">
        <f t="shared" ca="1" si="13"/>
        <v>-</v>
      </c>
      <c r="T25" s="152">
        <f ca="1">OFFSET(CÁLCULO!H$15,ROW($T25)-ROW(T$15),0)</f>
        <v>0</v>
      </c>
      <c r="U25" s="153"/>
      <c r="V25" s="154" t="s">
        <v>155</v>
      </c>
      <c r="W25" s="152">
        <f t="shared" ca="1" si="14"/>
        <v>0</v>
      </c>
      <c r="X25" s="155">
        <f t="shared" ca="1" si="15"/>
        <v>0</v>
      </c>
      <c r="Y25" s="156" t="s">
        <v>244</v>
      </c>
      <c r="Z25" t="str">
        <f t="shared" ca="1" si="16"/>
        <v/>
      </c>
      <c r="AA25" s="157">
        <f ca="1">IF($C25="S",IF($Z25="CP",$X25,IF($Z25="RA",(($X25)*QCI!$AA$3),0)),SomaAgrup)</f>
        <v>0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b">
        <f t="shared" ca="1" si="19"/>
        <v>0</v>
      </c>
      <c r="AF25" s="160" t="str">
        <f t="shared" ca="1" si="20"/>
        <v>(Sem Código)</v>
      </c>
      <c r="AG25" s="550">
        <f t="shared" ca="1" si="21"/>
        <v>0</v>
      </c>
      <c r="AH25" s="551">
        <f t="shared" ca="1" si="22"/>
        <v>0.2656</v>
      </c>
      <c r="AJ25" s="553"/>
      <c r="AL25" s="574"/>
      <c r="AM25" s="431">
        <f t="shared" ca="1" si="0"/>
        <v>0</v>
      </c>
      <c r="AN25" s="617">
        <f t="shared" ca="1" si="23"/>
        <v>0</v>
      </c>
    </row>
    <row r="26" spans="1:40" hidden="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6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/>
      </c>
      <c r="M26" s="145" t="s">
        <v>198</v>
      </c>
      <c r="N26" s="146" t="str">
        <f t="shared" ca="1" si="11"/>
        <v>Serviço</v>
      </c>
      <c r="O26" s="147" t="str">
        <f t="shared" ca="1" si="12"/>
        <v>-</v>
      </c>
      <c r="P26" s="148" t="s">
        <v>246</v>
      </c>
      <c r="Q26" s="149"/>
      <c r="R26" s="150" t="str">
        <f t="shared" ca="1" si="24"/>
        <v>(Sem Código)</v>
      </c>
      <c r="S26" s="151" t="str">
        <f t="shared" ca="1" si="13"/>
        <v>-</v>
      </c>
      <c r="T26" s="152">
        <f ca="1">OFFSET(CÁLCULO!H$15,ROW($T26)-ROW(T$15),0)</f>
        <v>0</v>
      </c>
      <c r="U26" s="153"/>
      <c r="V26" s="154" t="s">
        <v>155</v>
      </c>
      <c r="W26" s="152">
        <f t="shared" ca="1" si="14"/>
        <v>0</v>
      </c>
      <c r="X26" s="155">
        <f t="shared" ca="1" si="15"/>
        <v>0</v>
      </c>
      <c r="Y26" s="156" t="s">
        <v>244</v>
      </c>
      <c r="Z26" t="str">
        <f t="shared" ca="1" si="16"/>
        <v/>
      </c>
      <c r="AA26" s="157">
        <f ca="1">IF($C26="S",IF($Z26="CP",$X26,IF($Z26="RA",(($X26)*QCI!$AA$3),0)),SomaAgrup)</f>
        <v>0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b">
        <f t="shared" ca="1" si="19"/>
        <v>0</v>
      </c>
      <c r="AF26" s="160" t="str">
        <f t="shared" ca="1" si="20"/>
        <v>(Sem Código)</v>
      </c>
      <c r="AG26" s="550">
        <f t="shared" ca="1" si="21"/>
        <v>0</v>
      </c>
      <c r="AH26" s="551">
        <f t="shared" ca="1" si="22"/>
        <v>0.2656</v>
      </c>
      <c r="AJ26" s="553"/>
      <c r="AL26" s="574"/>
      <c r="AM26" s="431">
        <f t="shared" ca="1" si="0"/>
        <v>0</v>
      </c>
      <c r="AN26" s="617">
        <f t="shared" ca="1" si="23"/>
        <v>0</v>
      </c>
    </row>
    <row r="27" spans="1:40" hidden="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6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/>
      </c>
      <c r="M27" s="145" t="s">
        <v>198</v>
      </c>
      <c r="N27" s="146" t="str">
        <f t="shared" ca="1" si="11"/>
        <v>Serviço</v>
      </c>
      <c r="O27" s="147" t="str">
        <f t="shared" ca="1" si="12"/>
        <v>-</v>
      </c>
      <c r="P27" s="148" t="s">
        <v>246</v>
      </c>
      <c r="Q27" s="149"/>
      <c r="R27" s="150" t="str">
        <f t="shared" ca="1" si="24"/>
        <v>(Sem Código)</v>
      </c>
      <c r="S27" s="151" t="str">
        <f t="shared" ca="1" si="13"/>
        <v>-</v>
      </c>
      <c r="T27" s="152">
        <f ca="1">OFFSET(CÁLCULO!H$15,ROW($T27)-ROW(T$15),0)</f>
        <v>0</v>
      </c>
      <c r="U27" s="153"/>
      <c r="V27" s="154" t="s">
        <v>155</v>
      </c>
      <c r="W27" s="152">
        <f t="shared" ca="1" si="14"/>
        <v>0</v>
      </c>
      <c r="X27" s="155">
        <f t="shared" ca="1" si="15"/>
        <v>0</v>
      </c>
      <c r="Y27" s="156" t="s">
        <v>244</v>
      </c>
      <c r="Z27" t="str">
        <f t="shared" ca="1" si="16"/>
        <v/>
      </c>
      <c r="AA27" s="157">
        <f ca="1">IF($C27="S",IF($Z27="CP",$X27,IF($Z27="RA",(($X27)*QCI!$AA$3),0)),SomaAgrup)</f>
        <v>0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b">
        <f t="shared" ca="1" si="19"/>
        <v>0</v>
      </c>
      <c r="AF27" s="160" t="str">
        <f t="shared" ca="1" si="20"/>
        <v>(Sem Código)</v>
      </c>
      <c r="AG27" s="550">
        <f t="shared" ca="1" si="21"/>
        <v>0</v>
      </c>
      <c r="AH27" s="551">
        <f t="shared" ca="1" si="22"/>
        <v>0.2656</v>
      </c>
      <c r="AJ27" s="553"/>
      <c r="AL27" s="574"/>
      <c r="AM27" s="431">
        <f t="shared" ca="1" si="0"/>
        <v>0</v>
      </c>
      <c r="AN27" s="617">
        <f t="shared" ca="1" si="23"/>
        <v>0</v>
      </c>
    </row>
    <row r="28" spans="1:40" ht="38.25" x14ac:dyDescent="0.2">
      <c r="A28">
        <f t="shared" si="1"/>
        <v>1</v>
      </c>
      <c r="B28">
        <f t="shared" ca="1" si="2"/>
        <v>1</v>
      </c>
      <c r="C28">
        <f t="shared" ca="1" si="3"/>
        <v>1</v>
      </c>
      <c r="D28">
        <f t="shared" ca="1" si="4"/>
        <v>238</v>
      </c>
      <c r="E28">
        <f ca="1">IF($C28=1,OFFSET(E28,-1,0)+MAX(1,COUNTIF(QCI!$A$13:$A$24,OFFSET(ORÇAMENTO!E28,-1,0))),OFFSET(E28,-1,0))</f>
        <v>2</v>
      </c>
      <c r="F28">
        <f t="shared" ca="1" si="5"/>
        <v>0</v>
      </c>
      <c r="G28">
        <f t="shared" ca="1" si="6"/>
        <v>0</v>
      </c>
      <c r="H28">
        <f t="shared" ca="1" si="7"/>
        <v>0</v>
      </c>
      <c r="I28">
        <f t="shared" ca="1" si="8"/>
        <v>0</v>
      </c>
      <c r="J28">
        <f t="shared" ca="1" si="9"/>
        <v>238</v>
      </c>
      <c r="K28" t="e">
        <f ca="1">IF(OR($C28="S",$C28=0),0,MATCH(OFFSET($D28,0,$C28)+IF($C28&lt;&gt;1,1,COUNTIF(QCI!$A$13:$A$24,ORÇAMENTO!E28)),OFFSET($D28,1,$C28,ROW($C$266)-ROW($C28)),0))</f>
        <v>#N/A</v>
      </c>
      <c r="L28" s="144" t="str">
        <f t="shared" ca="1" si="10"/>
        <v>F</v>
      </c>
      <c r="M28" s="145" t="s">
        <v>194</v>
      </c>
      <c r="N28" s="146" t="str">
        <f t="shared" ca="1" si="11"/>
        <v>Meta</v>
      </c>
      <c r="O28" s="147" t="str">
        <f t="shared" ca="1" si="12"/>
        <v>2.</v>
      </c>
      <c r="P28" s="148" t="s">
        <v>246</v>
      </c>
      <c r="Q28" s="149"/>
      <c r="R28" s="150" t="str">
        <f ca="1">IF($C28="S",REFERENCIA.Descricao,"EXECUÇÃO DE BASE EM CONCRETO ARMADO PARA INSTALAÇÃO DE ACADEMIA AO AR LIVRE NA VILA RURAL DE NOVA UNIÃO (DIMENSÃO 8,50 M x 8,00 M E COM e=12 CM)                                                                                ")</f>
        <v xml:space="preserve">EXECUÇÃO DE BASE EM CONCRETO ARMADO PARA INSTALAÇÃO DE ACADEMIA AO AR LIVRE NA VILA RURAL DE NOVA UNIÃO (DIMENSÃO 8,50 M x 8,00 M E COM e=12 CM)                                                                                </v>
      </c>
      <c r="S28" s="151" t="str">
        <f t="shared" ca="1" si="13"/>
        <v>-</v>
      </c>
      <c r="T28" s="152">
        <f ca="1">OFFSET(CÁLCULO!H$15,ROW($T28)-ROW(T$15),0)</f>
        <v>0</v>
      </c>
      <c r="U28" s="153"/>
      <c r="V28" s="154" t="s">
        <v>155</v>
      </c>
      <c r="W28" s="152">
        <f t="shared" ca="1" si="14"/>
        <v>0</v>
      </c>
      <c r="X28" s="155">
        <f t="shared" ca="1" si="15"/>
        <v>8471.19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8471.19</v>
      </c>
      <c r="AB28" s="158">
        <f t="shared" ca="1" si="17"/>
        <v>0</v>
      </c>
      <c r="AC28" s="159" t="str">
        <f t="shared" ca="1" si="18"/>
        <v/>
      </c>
      <c r="AD28" s="105">
        <f ca="1">IF(C28&lt;=CRONO.NivelExibicao,MAX($AD$15:OFFSET(AD28,-1,0))+IF($C28&lt;&gt;1,1,MAX(1,COUNTIF(QCI!$A$13:$A$24,OFFSET($E28,-1,0)))),"")</f>
        <v>2</v>
      </c>
      <c r="AE28" s="115" t="b">
        <f t="shared" ca="1" si="19"/>
        <v>0</v>
      </c>
      <c r="AF28" s="160" t="str">
        <f t="shared" ca="1" si="20"/>
        <v>(Sem Código)</v>
      </c>
      <c r="AG28" s="550">
        <f t="shared" ca="1" si="21"/>
        <v>0</v>
      </c>
      <c r="AH28" s="551">
        <f t="shared" ca="1" si="22"/>
        <v>0.2656</v>
      </c>
      <c r="AJ28" s="553"/>
      <c r="AL28" s="574"/>
      <c r="AM28" s="431">
        <f t="shared" ca="1" si="0"/>
        <v>8471.19</v>
      </c>
      <c r="AN28" s="617">
        <f t="shared" ca="1" si="23"/>
        <v>0</v>
      </c>
    </row>
    <row r="29" spans="1:40" x14ac:dyDescent="0.2">
      <c r="A29">
        <f t="shared" si="1"/>
        <v>2</v>
      </c>
      <c r="B29">
        <f t="shared" ca="1" si="2"/>
        <v>2</v>
      </c>
      <c r="C29">
        <f t="shared" ca="1" si="3"/>
        <v>2</v>
      </c>
      <c r="D29">
        <f t="shared" ca="1" si="4"/>
        <v>237</v>
      </c>
      <c r="E29">
        <f ca="1">IF($C29=1,OFFSET(E29,-1,0)+MAX(1,COUNTIF(QCI!$A$13:$A$24,OFFSET(ORÇAMENTO!E29,-1,0))),OFFSET(E29,-1,0))</f>
        <v>2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0</v>
      </c>
      <c r="J29">
        <f t="shared" ca="1" si="9"/>
        <v>237</v>
      </c>
      <c r="K29" t="e">
        <f ca="1">IF(OR($C29="S",$C29=0),0,MATCH(OFFSET($D29,0,$C29)+IF($C29&lt;&gt;1,1,COUNTIF(QCI!$A$13:$A$24,ORÇAMENTO!E29)),OFFSET($D29,1,$C29,ROW($C$266)-ROW($C29)),0))</f>
        <v>#N/A</v>
      </c>
      <c r="L29" s="144" t="str">
        <f t="shared" ca="1" si="10"/>
        <v>F</v>
      </c>
      <c r="M29" s="145" t="s">
        <v>195</v>
      </c>
      <c r="N29" s="146" t="str">
        <f t="shared" ca="1" si="11"/>
        <v>Nível 2</v>
      </c>
      <c r="O29" s="147" t="str">
        <f t="shared" ca="1" si="12"/>
        <v>2.1.</v>
      </c>
      <c r="P29" s="148" t="s">
        <v>246</v>
      </c>
      <c r="Q29" s="149"/>
      <c r="R29" s="150" t="str">
        <f ca="1">IF($C29="S",REFERENCIA.Descricao,"SERVIÇOS CONTRATADOS")</f>
        <v>SERVIÇOS CONTRATADOS</v>
      </c>
      <c r="S29" s="151" t="str">
        <f t="shared" ca="1" si="13"/>
        <v>-</v>
      </c>
      <c r="T29" s="152">
        <f ca="1">OFFSET(CÁLCULO!H$15,ROW($T29)-ROW(T$15),0)</f>
        <v>0</v>
      </c>
      <c r="U29" s="153"/>
      <c r="V29" s="154" t="s">
        <v>155</v>
      </c>
      <c r="W29" s="152">
        <f t="shared" ca="1" si="14"/>
        <v>0</v>
      </c>
      <c r="X29" s="155">
        <f t="shared" ca="1" si="15"/>
        <v>8471.19</v>
      </c>
      <c r="Y29" s="156" t="s">
        <v>244</v>
      </c>
      <c r="Z29" t="str">
        <f t="shared" ca="1" si="16"/>
        <v/>
      </c>
      <c r="AA29" s="157">
        <f ca="1">IF($C29="S",IF($Z29="CP",$X29,IF($Z29="RA",(($X29)*QCI!$AA$3),0)),SomaAgrup)</f>
        <v>8471.19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b">
        <f t="shared" ca="1" si="19"/>
        <v>0</v>
      </c>
      <c r="AF29" s="160" t="str">
        <f t="shared" ca="1" si="20"/>
        <v>(Sem Código)</v>
      </c>
      <c r="AG29" s="550">
        <f t="shared" ca="1" si="21"/>
        <v>0</v>
      </c>
      <c r="AH29" s="551">
        <f t="shared" ca="1" si="22"/>
        <v>0.2656</v>
      </c>
      <c r="AJ29" s="553"/>
      <c r="AL29" s="574"/>
      <c r="AM29" s="431">
        <f t="shared" ca="1" si="0"/>
        <v>8471.19</v>
      </c>
      <c r="AN29" s="617">
        <f t="shared" ca="1" si="23"/>
        <v>0</v>
      </c>
    </row>
    <row r="30" spans="1:40" ht="25.5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2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1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>F</v>
      </c>
      <c r="M30" s="145" t="s">
        <v>198</v>
      </c>
      <c r="N30" s="146" t="str">
        <f t="shared" ca="1" si="11"/>
        <v>Serviço</v>
      </c>
      <c r="O30" s="147" t="str">
        <f t="shared" ca="1" si="12"/>
        <v>2.1.1.</v>
      </c>
      <c r="P30" s="148" t="s">
        <v>464</v>
      </c>
      <c r="Q30" s="149" t="s">
        <v>465</v>
      </c>
      <c r="R30" s="150" t="str">
        <f t="shared" ca="1" si="24"/>
        <v>PLACA DE OBRA EM CHAPA GALVANIZADA *N. 22*, ADESIVADA, DE *2,4 X 1,2* M INCLUSIVE ESTRUTURA DE FIXAÇÃO</v>
      </c>
      <c r="S30" s="151" t="str">
        <f t="shared" ca="1" si="13"/>
        <v xml:space="preserve">UN </v>
      </c>
      <c r="T30" s="152">
        <f ca="1">OFFSET(CÁLCULO!H$15,ROW($T30)-ROW(T$15),0)</f>
        <v>1</v>
      </c>
      <c r="U30" s="153">
        <v>491.28</v>
      </c>
      <c r="V30" s="154" t="s">
        <v>155</v>
      </c>
      <c r="W30" s="152">
        <f t="shared" ca="1" si="14"/>
        <v>621.76</v>
      </c>
      <c r="X30" s="155">
        <f t="shared" ca="1" si="15"/>
        <v>621.76</v>
      </c>
      <c r="Y30" s="156" t="s">
        <v>168</v>
      </c>
      <c r="Z30" t="str">
        <f t="shared" ca="1" si="16"/>
        <v>CP</v>
      </c>
      <c r="AA30" s="157">
        <f ca="1">IF($C30="S",IF($Z30="CP",$X30,IF($Z30="RA",(($X30)*QCI!$AA$3),0)),SomaAgrup)</f>
        <v>621.76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str">
        <f t="shared" ca="1" si="19"/>
        <v>PMCA 4813</v>
      </c>
      <c r="AF30" s="160">
        <f t="shared" ca="1" si="20"/>
        <v>3</v>
      </c>
      <c r="AG30" s="550">
        <f t="shared" ca="1" si="21"/>
        <v>491.28</v>
      </c>
      <c r="AH30" s="551">
        <f t="shared" ca="1" si="22"/>
        <v>0.2656</v>
      </c>
      <c r="AJ30" s="553">
        <v>1</v>
      </c>
      <c r="AL30" s="574"/>
      <c r="AM30" s="431">
        <f t="shared" ca="1" si="0"/>
        <v>621.76</v>
      </c>
      <c r="AN30" s="617">
        <f t="shared" ca="1" si="23"/>
        <v>621.76</v>
      </c>
    </row>
    <row r="31" spans="1:40" ht="25.5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2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2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>F</v>
      </c>
      <c r="M31" s="145" t="s">
        <v>198</v>
      </c>
      <c r="N31" s="146" t="str">
        <f t="shared" ca="1" si="11"/>
        <v>Serviço</v>
      </c>
      <c r="O31" s="147" t="str">
        <f t="shared" ca="1" si="12"/>
        <v>2.1.2.</v>
      </c>
      <c r="P31" s="148" t="s">
        <v>464</v>
      </c>
      <c r="Q31" s="149" t="s">
        <v>466</v>
      </c>
      <c r="R31" s="150" t="str">
        <f t="shared" ca="1" si="24"/>
        <v>FABRICAÇÃO, MONTAGEM E DESMONTAGEM DE FÔRMA PARA DELIMITAÇÃO DO PISO DE CONCRETO, ESPESSURA DE 2,50 CM</v>
      </c>
      <c r="S31" s="151" t="str">
        <f t="shared" ca="1" si="13"/>
        <v xml:space="preserve">M2    </v>
      </c>
      <c r="T31" s="152">
        <f ca="1">OFFSET(CÁLCULO!H$15,ROW($T31)-ROW(T$15),0)</f>
        <v>4.95</v>
      </c>
      <c r="U31" s="153">
        <v>132.44999999999999</v>
      </c>
      <c r="V31" s="154" t="s">
        <v>155</v>
      </c>
      <c r="W31" s="152">
        <f t="shared" ca="1" si="14"/>
        <v>167.63</v>
      </c>
      <c r="X31" s="155">
        <f t="shared" ca="1" si="15"/>
        <v>829.77</v>
      </c>
      <c r="Y31" s="156" t="s">
        <v>168</v>
      </c>
      <c r="Z31" t="str">
        <f t="shared" ca="1" si="16"/>
        <v>CP</v>
      </c>
      <c r="AA31" s="157">
        <f ca="1">IF($C31="S",IF($Z31="CP",$X31,IF($Z31="RA",(($X31)*QCI!$AA$3),0)),SomaAgrup)</f>
        <v>829.77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str">
        <f t="shared" ca="1" si="19"/>
        <v>PMCA 96533</v>
      </c>
      <c r="AF31" s="160">
        <f t="shared" ca="1" si="20"/>
        <v>18</v>
      </c>
      <c r="AG31" s="550">
        <f t="shared" ca="1" si="21"/>
        <v>132.44999999999999</v>
      </c>
      <c r="AH31" s="551">
        <f t="shared" ca="1" si="22"/>
        <v>0.2656</v>
      </c>
      <c r="AJ31" s="553">
        <v>4.95</v>
      </c>
      <c r="AL31" s="574"/>
      <c r="AM31" s="431">
        <f t="shared" ca="1" si="0"/>
        <v>829.77</v>
      </c>
      <c r="AN31" s="617">
        <f t="shared" ca="1" si="23"/>
        <v>167.63</v>
      </c>
    </row>
    <row r="32" spans="1:40" ht="38.25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2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3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>F</v>
      </c>
      <c r="M32" s="145" t="s">
        <v>198</v>
      </c>
      <c r="N32" s="146" t="str">
        <f t="shared" ca="1" si="11"/>
        <v>Serviço</v>
      </c>
      <c r="O32" s="147" t="str">
        <f t="shared" ca="1" si="12"/>
        <v>2.1.3.</v>
      </c>
      <c r="P32" s="148" t="s">
        <v>246</v>
      </c>
      <c r="Q32" s="149" t="s">
        <v>469</v>
      </c>
      <c r="R32" s="150" t="str">
        <f ca="1">IF($C32="S",REFERENCIA.Descricao,"(digite a descrição aqui)")</f>
        <v>COMPACTAÇÃO MECÂNICA DE SOLO PARA EXECUÇÃO DE RADIER, PISO DE CONCRETO OU LAJE SOBRE SOLO, COM COMPACTADOR DE SOLOS A PERCUSSÃO. AF_09/2021</v>
      </c>
      <c r="S32" s="151" t="str">
        <f t="shared" ca="1" si="13"/>
        <v>M2</v>
      </c>
      <c r="T32" s="152">
        <f ca="1">OFFSET(CÁLCULO!H$15,ROW($T32)-ROW(T$15),0)</f>
        <v>68</v>
      </c>
      <c r="U32" s="153">
        <v>3.51</v>
      </c>
      <c r="V32" s="154" t="s">
        <v>155</v>
      </c>
      <c r="W32" s="152">
        <f t="shared" ca="1" si="14"/>
        <v>4.4400000000000004</v>
      </c>
      <c r="X32" s="155">
        <f t="shared" ca="1" si="15"/>
        <v>301.92</v>
      </c>
      <c r="Y32" s="156" t="s">
        <v>168</v>
      </c>
      <c r="Z32" t="str">
        <f t="shared" ca="1" si="16"/>
        <v>CP</v>
      </c>
      <c r="AA32" s="157">
        <f ca="1">IF($C32="S",IF($Z32="CP",$X32,IF($Z32="RA",(($X32)*QCI!$AA$3),0)),SomaAgrup)</f>
        <v>301.92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str">
        <f t="shared" ca="1" si="19"/>
        <v>SINAPI 97083</v>
      </c>
      <c r="AF32" s="160">
        <f t="shared" ca="1" si="20"/>
        <v>2206</v>
      </c>
      <c r="AG32" s="550">
        <f t="shared" ca="1" si="21"/>
        <v>3.51</v>
      </c>
      <c r="AH32" s="551">
        <f t="shared" ca="1" si="22"/>
        <v>0.2656</v>
      </c>
      <c r="AJ32" s="553">
        <v>68</v>
      </c>
      <c r="AL32" s="574"/>
      <c r="AM32" s="431">
        <f t="shared" ca="1" si="0"/>
        <v>301.92</v>
      </c>
      <c r="AN32" s="617">
        <f t="shared" ca="1" si="23"/>
        <v>4.4400000000000004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2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3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(Sem Código)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168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0.2656</v>
      </c>
      <c r="AJ33" s="553">
        <f>(8+8+8.5+8.5)*0.15</f>
        <v>4.95</v>
      </c>
      <c r="AL33" s="574"/>
      <c r="AM33" s="431">
        <f t="shared" ca="1" si="0"/>
        <v>0</v>
      </c>
      <c r="AN33" s="617">
        <f t="shared" ca="1" si="23"/>
        <v>0</v>
      </c>
    </row>
    <row r="34" spans="1:40" ht="38.25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2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4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>F</v>
      </c>
      <c r="M34" s="145" t="s">
        <v>198</v>
      </c>
      <c r="N34" s="146" t="str">
        <f t="shared" ca="1" si="11"/>
        <v>Serviço</v>
      </c>
      <c r="O34" s="147" t="str">
        <f t="shared" ca="1" si="12"/>
        <v>2.1.4.</v>
      </c>
      <c r="P34" s="148" t="s">
        <v>464</v>
      </c>
      <c r="Q34" s="149" t="s">
        <v>467</v>
      </c>
      <c r="R34" s="150" t="str">
        <f t="shared" ca="1" si="24"/>
        <v>LASTRO DE MATERIAL GRANULAR COMPACTADO (PEDRA BRITADA N.2) APLICADO EM PISOSS OU LAJES SOBRE O SOLO, ESPESSURA DE 3,00 CM</v>
      </c>
      <c r="S34" s="151" t="str">
        <f t="shared" ca="1" si="13"/>
        <v xml:space="preserve">M3    </v>
      </c>
      <c r="T34" s="152">
        <f ca="1">OFFSET(CÁLCULO!H$15,ROW($T34)-ROW(T$15),0)</f>
        <v>2.04</v>
      </c>
      <c r="U34" s="153">
        <v>107.4</v>
      </c>
      <c r="V34" s="154" t="s">
        <v>155</v>
      </c>
      <c r="W34" s="152">
        <f t="shared" ca="1" si="14"/>
        <v>135.93</v>
      </c>
      <c r="X34" s="155">
        <f t="shared" ca="1" si="15"/>
        <v>277.3</v>
      </c>
      <c r="Y34" s="156" t="s">
        <v>168</v>
      </c>
      <c r="Z34" t="str">
        <f t="shared" ca="1" si="16"/>
        <v>CP</v>
      </c>
      <c r="AA34" s="157">
        <f ca="1">IF($C34="S",IF($Z34="CP",$X34,IF($Z34="RA",(($X34)*QCI!$AA$3),0)),SomaAgrup)</f>
        <v>277.3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str">
        <f t="shared" ca="1" si="19"/>
        <v>PMCA 96624</v>
      </c>
      <c r="AF34" s="160">
        <f t="shared" ca="1" si="20"/>
        <v>19</v>
      </c>
      <c r="AG34" s="550">
        <f t="shared" ca="1" si="21"/>
        <v>107.4</v>
      </c>
      <c r="AH34" s="551">
        <f t="shared" ca="1" si="22"/>
        <v>0.2656</v>
      </c>
      <c r="AJ34" s="553">
        <f>(8*8.5)*0.03</f>
        <v>2.04</v>
      </c>
      <c r="AL34" s="574"/>
      <c r="AM34" s="431">
        <f t="shared" ca="1" si="0"/>
        <v>277.3</v>
      </c>
      <c r="AN34" s="617">
        <f t="shared" ca="1" si="23"/>
        <v>135.93</v>
      </c>
    </row>
    <row r="35" spans="1:40" ht="5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2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5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>F</v>
      </c>
      <c r="M35" s="145" t="s">
        <v>198</v>
      </c>
      <c r="N35" s="146" t="str">
        <f t="shared" ca="1" si="11"/>
        <v>Serviço</v>
      </c>
      <c r="O35" s="147" t="str">
        <f t="shared" ca="1" si="12"/>
        <v>2.1.5.</v>
      </c>
      <c r="P35" s="148" t="s">
        <v>464</v>
      </c>
      <c r="Q35" s="149" t="s">
        <v>468</v>
      </c>
      <c r="R35" s="150" t="str">
        <f t="shared" ca="1" si="24"/>
        <v>CONCRETAGEM DE PISO DE CONCRETO USINADO FCK 20 MPA - BOMBEAMENTO, LANÇAMENTO, ADENSAMENTO E ACABAMENTO - INCLUSIVE JUNTAS DE DILATAÇÃO E INSTALAÇÃO E FORNECIMENTO DE CHUMBADORES</v>
      </c>
      <c r="S35" s="151" t="str">
        <f t="shared" ca="1" si="13"/>
        <v xml:space="preserve">M3    </v>
      </c>
      <c r="T35" s="152">
        <f ca="1">OFFSET(CÁLCULO!H$15,ROW($T35)-ROW(T$15),0)</f>
        <v>8.16</v>
      </c>
      <c r="U35" s="153">
        <v>487.14</v>
      </c>
      <c r="V35" s="154" t="s">
        <v>155</v>
      </c>
      <c r="W35" s="152">
        <f t="shared" ca="1" si="14"/>
        <v>616.52</v>
      </c>
      <c r="X35" s="155">
        <f t="shared" ca="1" si="15"/>
        <v>5030.8</v>
      </c>
      <c r="Y35" s="156" t="s">
        <v>168</v>
      </c>
      <c r="Z35" t="str">
        <f t="shared" ca="1" si="16"/>
        <v>CP</v>
      </c>
      <c r="AA35" s="157">
        <f ca="1">IF($C35="S",IF($Z35="CP",$X35,IF($Z35="RA",(($X35)*QCI!$AA$3),0)),SomaAgrup)</f>
        <v>5030.8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str">
        <f t="shared" ca="1" si="19"/>
        <v>PMCA 97096</v>
      </c>
      <c r="AF35" s="160">
        <f t="shared" ca="1" si="20"/>
        <v>20</v>
      </c>
      <c r="AG35" s="550">
        <f t="shared" ca="1" si="21"/>
        <v>487.14</v>
      </c>
      <c r="AH35" s="551">
        <f t="shared" ca="1" si="22"/>
        <v>0.2656</v>
      </c>
      <c r="AJ35" s="553">
        <v>8.16</v>
      </c>
      <c r="AL35" s="574"/>
      <c r="AM35" s="431">
        <f t="shared" ca="1" si="0"/>
        <v>5030.8</v>
      </c>
      <c r="AN35" s="617">
        <f t="shared" ca="1" si="23"/>
        <v>616.52</v>
      </c>
    </row>
    <row r="36" spans="1:40" ht="38.25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2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6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>F</v>
      </c>
      <c r="M36" s="145" t="s">
        <v>198</v>
      </c>
      <c r="N36" s="146" t="str">
        <f t="shared" ca="1" si="11"/>
        <v>Serviço</v>
      </c>
      <c r="O36" s="147" t="str">
        <f t="shared" ca="1" si="12"/>
        <v>2.1.6.</v>
      </c>
      <c r="P36" s="148" t="s">
        <v>443</v>
      </c>
      <c r="Q36" s="149" t="s">
        <v>444</v>
      </c>
      <c r="R36" s="150" t="str">
        <f t="shared" ca="1" si="24"/>
        <v>TELA DE ACO SOLDADA NERVURADA, CA-60, Q-92, (1,48 KG/M2), DIAMETRO DO FIO = 4,2 MM, LARGURA = 2,45 X 60 M DE COMPRIMENTO, ESPACAMENTO DA MALHA = 15  X 15 CM</v>
      </c>
      <c r="S36" s="151" t="str">
        <f t="shared" ca="1" si="13"/>
        <v xml:space="preserve">M2    </v>
      </c>
      <c r="T36" s="152">
        <f ca="1">OFFSET(CÁLCULO!H$15,ROW($T36)-ROW(T$15),0)</f>
        <v>68</v>
      </c>
      <c r="U36" s="153">
        <v>16.38</v>
      </c>
      <c r="V36" s="154" t="s">
        <v>155</v>
      </c>
      <c r="W36" s="152">
        <f t="shared" ca="1" si="14"/>
        <v>20.73</v>
      </c>
      <c r="X36" s="155">
        <f t="shared" ca="1" si="15"/>
        <v>1409.64</v>
      </c>
      <c r="Y36" s="156" t="s">
        <v>168</v>
      </c>
      <c r="Z36" t="str">
        <f t="shared" ca="1" si="16"/>
        <v>CP</v>
      </c>
      <c r="AA36" s="157">
        <f ca="1">IF($C36="S",IF($Z36="CP",$X36,IF($Z36="RA",(($X36)*QCI!$AA$3),0)),SomaAgrup)</f>
        <v>1409.64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str">
        <f t="shared" ca="1" si="19"/>
        <v>SINAPI-I 21141</v>
      </c>
      <c r="AF36" s="160">
        <f t="shared" ca="1" si="20"/>
        <v>11755</v>
      </c>
      <c r="AG36" s="550">
        <f t="shared" ca="1" si="21"/>
        <v>16.38</v>
      </c>
      <c r="AH36" s="551">
        <f t="shared" ca="1" si="22"/>
        <v>0.2656</v>
      </c>
      <c r="AJ36" s="553">
        <f>(8*8.5)</f>
        <v>68</v>
      </c>
      <c r="AL36" s="574"/>
      <c r="AM36" s="431">
        <f t="shared" ca="1" si="0"/>
        <v>1409.64</v>
      </c>
      <c r="AN36" s="617">
        <f t="shared" ca="1" si="23"/>
        <v>20.73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2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6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/>
      </c>
      <c r="M37" s="145" t="s">
        <v>198</v>
      </c>
      <c r="N37" s="146" t="str">
        <f t="shared" ca="1" si="11"/>
        <v>Serviço</v>
      </c>
      <c r="O37" s="147" t="str">
        <f t="shared" ca="1" si="12"/>
        <v>-</v>
      </c>
      <c r="P37" s="148" t="s">
        <v>246</v>
      </c>
      <c r="Q37" s="149"/>
      <c r="R37" s="150" t="str">
        <f t="shared" ca="1" si="24"/>
        <v>(Sem Código)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0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0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b">
        <f t="shared" ca="1" si="19"/>
        <v>0</v>
      </c>
      <c r="AF37" s="160" t="str">
        <f t="shared" ca="1" si="20"/>
        <v>(Sem Código)</v>
      </c>
      <c r="AG37" s="550">
        <f t="shared" ca="1" si="21"/>
        <v>0</v>
      </c>
      <c r="AH37" s="551">
        <f t="shared" ca="1" si="22"/>
        <v>0.2656</v>
      </c>
      <c r="AJ37" s="553"/>
      <c r="AL37" s="574"/>
      <c r="AM37" s="431">
        <f t="shared" ca="1" si="0"/>
        <v>0</v>
      </c>
      <c r="AN37" s="617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2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6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/>
      </c>
      <c r="M38" s="145" t="s">
        <v>198</v>
      </c>
      <c r="N38" s="146" t="str">
        <f t="shared" ca="1" si="11"/>
        <v>Serviço</v>
      </c>
      <c r="O38" s="147" t="str">
        <f t="shared" ca="1" si="12"/>
        <v>-</v>
      </c>
      <c r="P38" s="148" t="s">
        <v>246</v>
      </c>
      <c r="Q38" s="149"/>
      <c r="R38" s="150" t="str">
        <f t="shared" ca="1" si="24"/>
        <v>(Sem Código)</v>
      </c>
      <c r="S38" s="151" t="str">
        <f t="shared" ca="1" si="13"/>
        <v>-</v>
      </c>
      <c r="T38" s="152">
        <f ca="1">OFFSET(CÁLCULO!H$15,ROW($T38)-ROW(T$15),0)</f>
        <v>0</v>
      </c>
      <c r="U38" s="153"/>
      <c r="V38" s="154" t="s">
        <v>155</v>
      </c>
      <c r="W38" s="152">
        <f t="shared" ca="1" si="14"/>
        <v>0</v>
      </c>
      <c r="X38" s="155">
        <f t="shared" ca="1" si="15"/>
        <v>0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0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b">
        <f t="shared" ca="1" si="19"/>
        <v>0</v>
      </c>
      <c r="AF38" s="160" t="str">
        <f t="shared" ca="1" si="20"/>
        <v>(Sem Código)</v>
      </c>
      <c r="AG38" s="550">
        <f t="shared" ca="1" si="21"/>
        <v>0</v>
      </c>
      <c r="AH38" s="551">
        <f t="shared" ca="1" si="22"/>
        <v>0.2656</v>
      </c>
      <c r="AJ38" s="553"/>
      <c r="AL38" s="574"/>
      <c r="AM38" s="431">
        <f t="shared" ca="1" si="0"/>
        <v>0</v>
      </c>
      <c r="AN38" s="617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2</v>
      </c>
      <c r="F39">
        <f t="shared" ca="1" si="5"/>
        <v>1</v>
      </c>
      <c r="G39">
        <f t="shared" ca="1" si="6"/>
        <v>0</v>
      </c>
      <c r="H39">
        <f t="shared" ca="1" si="7"/>
        <v>0</v>
      </c>
      <c r="I39">
        <f t="shared" ca="1" si="8"/>
        <v>6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/>
      </c>
      <c r="M39" s="145" t="s">
        <v>198</v>
      </c>
      <c r="N39" s="146" t="str">
        <f t="shared" ca="1" si="11"/>
        <v>Serviço</v>
      </c>
      <c r="O39" s="147" t="str">
        <f t="shared" ca="1" si="12"/>
        <v>-</v>
      </c>
      <c r="P39" s="148" t="s">
        <v>246</v>
      </c>
      <c r="Q39" s="149"/>
      <c r="R39" s="150" t="str">
        <f t="shared" ca="1" si="24"/>
        <v>(Sem Código)</v>
      </c>
      <c r="S39" s="151" t="str">
        <f t="shared" ca="1" si="13"/>
        <v>-</v>
      </c>
      <c r="T39" s="152">
        <f ca="1">OFFSET(CÁLCULO!H$15,ROW($T39)-ROW(T$15),0)</f>
        <v>0</v>
      </c>
      <c r="U39" s="153"/>
      <c r="V39" s="154" t="s">
        <v>155</v>
      </c>
      <c r="W39" s="152">
        <f t="shared" ca="1" si="14"/>
        <v>0</v>
      </c>
      <c r="X39" s="155">
        <f t="shared" ca="1" si="15"/>
        <v>0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0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b">
        <f t="shared" ca="1" si="19"/>
        <v>0</v>
      </c>
      <c r="AF39" s="160" t="str">
        <f t="shared" ca="1" si="20"/>
        <v>(Sem Código)</v>
      </c>
      <c r="AG39" s="550">
        <f t="shared" ca="1" si="21"/>
        <v>0</v>
      </c>
      <c r="AH39" s="551">
        <f t="shared" ca="1" si="22"/>
        <v>0.2656</v>
      </c>
      <c r="AJ39" s="553"/>
      <c r="AL39" s="574"/>
      <c r="AM39" s="431">
        <f t="shared" ca="1" si="0"/>
        <v>0</v>
      </c>
      <c r="AN39" s="617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2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6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246</v>
      </c>
      <c r="Q40" s="149"/>
      <c r="R40" s="150" t="str">
        <f t="shared" ca="1" si="24"/>
        <v>(Sem Código)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(Sem Código)</v>
      </c>
      <c r="AG40" s="550">
        <f t="shared" ca="1" si="21"/>
        <v>0</v>
      </c>
      <c r="AH40" s="551">
        <f t="shared" ca="1" si="22"/>
        <v>0.2656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2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6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(Sem Código)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(Sem Código)</v>
      </c>
      <c r="AG41" s="550">
        <f t="shared" ca="1" si="21"/>
        <v>0</v>
      </c>
      <c r="AH41" s="551">
        <f t="shared" ca="1" si="22"/>
        <v>0.2656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hidden="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2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6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/>
      </c>
      <c r="M42" s="145" t="s">
        <v>198</v>
      </c>
      <c r="N42" s="146" t="str">
        <f t="shared" ca="1" si="11"/>
        <v>Serviço</v>
      </c>
      <c r="O42" s="147" t="str">
        <f t="shared" ca="1" si="12"/>
        <v>-</v>
      </c>
      <c r="P42" s="148" t="s">
        <v>246</v>
      </c>
      <c r="Q42" s="149"/>
      <c r="R42" s="150" t="str">
        <f t="shared" ca="1" si="24"/>
        <v>(Sem Código)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0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0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b">
        <f t="shared" ca="1" si="19"/>
        <v>0</v>
      </c>
      <c r="AF42" s="160" t="str">
        <f t="shared" ca="1" si="20"/>
        <v>(Sem Código)</v>
      </c>
      <c r="AG42" s="550">
        <f t="shared" ca="1" si="21"/>
        <v>0</v>
      </c>
      <c r="AH42" s="551">
        <f t="shared" ca="1" si="22"/>
        <v>0.2656</v>
      </c>
      <c r="AJ42" s="553"/>
      <c r="AL42" s="574"/>
      <c r="AM42" s="431">
        <f t="shared" ca="1" si="0"/>
        <v>0</v>
      </c>
      <c r="AN42" s="617">
        <f t="shared" ca="1" si="23"/>
        <v>0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2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6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/>
      </c>
      <c r="M43" s="145" t="s">
        <v>198</v>
      </c>
      <c r="N43" s="146" t="str">
        <f t="shared" ca="1" si="11"/>
        <v>Serviço</v>
      </c>
      <c r="O43" s="147" t="str">
        <f t="shared" ca="1" si="12"/>
        <v>-</v>
      </c>
      <c r="P43" s="148" t="s">
        <v>246</v>
      </c>
      <c r="Q43" s="149"/>
      <c r="R43" s="150" t="str">
        <f ca="1">IF($C43="S",REFERENCIA.Descricao,"(digite a descrição aqui)")</f>
        <v>(Sem Código)</v>
      </c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0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0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b">
        <f t="shared" ca="1" si="19"/>
        <v>0</v>
      </c>
      <c r="AF43" s="160" t="str">
        <f t="shared" ca="1" si="20"/>
        <v>(Sem Código)</v>
      </c>
      <c r="AG43" s="550">
        <f t="shared" ca="1" si="21"/>
        <v>0</v>
      </c>
      <c r="AH43" s="551">
        <f t="shared" ca="1" si="22"/>
        <v>0.2656</v>
      </c>
      <c r="AJ43" s="553"/>
      <c r="AL43" s="574"/>
      <c r="AM43" s="431">
        <f t="shared" ca="1" si="0"/>
        <v>0</v>
      </c>
      <c r="AN43" s="617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2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6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246</v>
      </c>
      <c r="Q44" s="149"/>
      <c r="R44" s="150" t="str">
        <f t="shared" ca="1" si="24"/>
        <v>(Sem Código)</v>
      </c>
      <c r="S44" s="151" t="str">
        <f t="shared" ca="1" si="13"/>
        <v>-</v>
      </c>
      <c r="T44" s="152">
        <f ca="1">OFFSET(CÁLCULO!H$15,ROW($T44)-ROW(T$15),0)</f>
        <v>0</v>
      </c>
      <c r="U44" s="153"/>
      <c r="V44" s="154" t="s">
        <v>155</v>
      </c>
      <c r="W44" s="152">
        <f t="shared" ca="1" si="14"/>
        <v>0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b">
        <f t="shared" ca="1" si="19"/>
        <v>0</v>
      </c>
      <c r="AF44" s="160" t="str">
        <f t="shared" ca="1" si="20"/>
        <v>(Sem Código)</v>
      </c>
      <c r="AG44" s="550">
        <f t="shared" ca="1" si="21"/>
        <v>0</v>
      </c>
      <c r="AH44" s="551">
        <f t="shared" ca="1" si="22"/>
        <v>0.2656</v>
      </c>
      <c r="AJ44" s="553"/>
      <c r="AL44" s="574"/>
      <c r="AM44" s="431">
        <f t="shared" ca="1" si="0"/>
        <v>0</v>
      </c>
      <c r="AN44" s="617">
        <f t="shared" ca="1" si="23"/>
        <v>0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2</v>
      </c>
      <c r="F45">
        <f t="shared" ca="1" si="5"/>
        <v>1</v>
      </c>
      <c r="G45">
        <f t="shared" ca="1" si="6"/>
        <v>0</v>
      </c>
      <c r="H45">
        <f t="shared" ca="1" si="7"/>
        <v>0</v>
      </c>
      <c r="I45">
        <f t="shared" ca="1" si="8"/>
        <v>6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/>
      </c>
      <c r="M45" s="145" t="s">
        <v>198</v>
      </c>
      <c r="N45" s="146" t="str">
        <f t="shared" ca="1" si="11"/>
        <v>Serviço</v>
      </c>
      <c r="O45" s="147" t="str">
        <f t="shared" ca="1" si="12"/>
        <v>-</v>
      </c>
      <c r="P45" s="148" t="s">
        <v>246</v>
      </c>
      <c r="Q45" s="149"/>
      <c r="R45" s="150" t="str">
        <f t="shared" ca="1" si="24"/>
        <v>(Sem Código)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0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0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b">
        <f t="shared" ca="1" si="19"/>
        <v>0</v>
      </c>
      <c r="AF45" s="160" t="str">
        <f t="shared" ca="1" si="20"/>
        <v>(Sem Código)</v>
      </c>
      <c r="AG45" s="550">
        <f t="shared" ca="1" si="21"/>
        <v>0</v>
      </c>
      <c r="AH45" s="551">
        <f t="shared" ca="1" si="22"/>
        <v>0.2656</v>
      </c>
      <c r="AJ45" s="553"/>
      <c r="AL45" s="574"/>
      <c r="AM45" s="431">
        <f t="shared" ca="1" si="0"/>
        <v>0</v>
      </c>
      <c r="AN45" s="617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2</v>
      </c>
      <c r="F46">
        <f t="shared" ca="1" si="5"/>
        <v>1</v>
      </c>
      <c r="G46">
        <f t="shared" ca="1" si="6"/>
        <v>0</v>
      </c>
      <c r="H46">
        <f t="shared" ca="1" si="7"/>
        <v>0</v>
      </c>
      <c r="I46">
        <f t="shared" ca="1" si="8"/>
        <v>6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(Sem Código)</v>
      </c>
      <c r="S46" s="151" t="str">
        <f t="shared" ca="1" si="13"/>
        <v>-</v>
      </c>
      <c r="T46" s="152">
        <f ca="1">OFFSET(CÁLCULO!H$15,ROW($T46)-ROW(T$15),0)</f>
        <v>0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(Sem Código)</v>
      </c>
      <c r="AG46" s="550">
        <f t="shared" ca="1" si="21"/>
        <v>0</v>
      </c>
      <c r="AH46" s="551">
        <f t="shared" ca="1" si="22"/>
        <v>0.2656</v>
      </c>
      <c r="AJ46" s="553"/>
      <c r="AL46" s="574"/>
      <c r="AM46" s="431">
        <f t="shared" ca="1" si="0"/>
        <v>0</v>
      </c>
      <c r="AN46" s="617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2</v>
      </c>
      <c r="F47">
        <f t="shared" ca="1" si="5"/>
        <v>1</v>
      </c>
      <c r="G47">
        <f t="shared" ca="1" si="6"/>
        <v>0</v>
      </c>
      <c r="H47">
        <f t="shared" ca="1" si="7"/>
        <v>0</v>
      </c>
      <c r="I47">
        <f t="shared" ca="1" si="8"/>
        <v>6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(Sem Código)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0.2656</v>
      </c>
      <c r="AJ47" s="553"/>
      <c r="AL47" s="574"/>
      <c r="AM47" s="431">
        <f t="shared" ca="1" si="0"/>
        <v>0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2</v>
      </c>
      <c r="F48">
        <f t="shared" ca="1" si="5"/>
        <v>1</v>
      </c>
      <c r="G48">
        <f t="shared" ca="1" si="6"/>
        <v>0</v>
      </c>
      <c r="H48">
        <f t="shared" ca="1" si="7"/>
        <v>0</v>
      </c>
      <c r="I48">
        <f t="shared" ca="1" si="8"/>
        <v>6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 t="str">
        <f t="shared" ca="1" si="24"/>
        <v>(Sem Código)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0.2656</v>
      </c>
      <c r="AJ48" s="553"/>
      <c r="AL48" s="574"/>
      <c r="AM48" s="431">
        <f t="shared" ca="1" si="0"/>
        <v>0</v>
      </c>
      <c r="AN48" s="617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2</v>
      </c>
      <c r="F49">
        <f t="shared" ca="1" si="5"/>
        <v>1</v>
      </c>
      <c r="G49">
        <f t="shared" ca="1" si="6"/>
        <v>0</v>
      </c>
      <c r="H49">
        <f t="shared" ca="1" si="7"/>
        <v>0</v>
      </c>
      <c r="I49">
        <f t="shared" ca="1" si="8"/>
        <v>6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/>
      </c>
      <c r="M49" s="145" t="s">
        <v>198</v>
      </c>
      <c r="N49" s="146" t="str">
        <f t="shared" ca="1" si="11"/>
        <v>Serviço</v>
      </c>
      <c r="O49" s="147" t="str">
        <f t="shared" ca="1" si="12"/>
        <v>-</v>
      </c>
      <c r="P49" s="148" t="s">
        <v>246</v>
      </c>
      <c r="Q49" s="149"/>
      <c r="R49" s="150" t="str">
        <f t="shared" ca="1" si="24"/>
        <v>(Sem Código)</v>
      </c>
      <c r="S49" s="151" t="str">
        <f t="shared" ca="1" si="13"/>
        <v>-</v>
      </c>
      <c r="T49" s="152">
        <f ca="1">OFFSET(CÁLCULO!H$15,ROW($T49)-ROW(T$15),0)</f>
        <v>0</v>
      </c>
      <c r="U49" s="153"/>
      <c r="V49" s="154" t="s">
        <v>155</v>
      </c>
      <c r="W49" s="152">
        <f t="shared" ca="1" si="14"/>
        <v>0</v>
      </c>
      <c r="X49" s="155">
        <f t="shared" ca="1" si="15"/>
        <v>0</v>
      </c>
      <c r="Y49" s="156" t="s">
        <v>244</v>
      </c>
      <c r="Z49" t="str">
        <f t="shared" ca="1" si="16"/>
        <v/>
      </c>
      <c r="AA49" s="157">
        <f ca="1">IF($C49="S",IF($Z49="CP",$X49,IF($Z49="RA",(($X49)*QCI!$AA$3),0)),SomaAgrup)</f>
        <v>0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b">
        <f t="shared" ca="1" si="19"/>
        <v>0</v>
      </c>
      <c r="AF49" s="160" t="str">
        <f t="shared" ca="1" si="20"/>
        <v>(Sem Código)</v>
      </c>
      <c r="AG49" s="550">
        <f t="shared" ca="1" si="21"/>
        <v>0</v>
      </c>
      <c r="AH49" s="551">
        <f t="shared" ca="1" si="22"/>
        <v>0.2656</v>
      </c>
      <c r="AJ49" s="553"/>
      <c r="AL49" s="574"/>
      <c r="AM49" s="431">
        <f t="shared" ca="1" si="0"/>
        <v>0</v>
      </c>
      <c r="AN49" s="617">
        <f t="shared" ca="1" si="23"/>
        <v>0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2</v>
      </c>
      <c r="F50">
        <f t="shared" ca="1" si="5"/>
        <v>1</v>
      </c>
      <c r="G50">
        <f t="shared" ca="1" si="6"/>
        <v>0</v>
      </c>
      <c r="H50">
        <f t="shared" ca="1" si="7"/>
        <v>0</v>
      </c>
      <c r="I50">
        <f t="shared" ca="1" si="8"/>
        <v>6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/>
      </c>
      <c r="M50" s="145" t="s">
        <v>198</v>
      </c>
      <c r="N50" s="146" t="str">
        <f t="shared" ca="1" si="11"/>
        <v>Serviço</v>
      </c>
      <c r="O50" s="147" t="str">
        <f t="shared" ca="1" si="12"/>
        <v>-</v>
      </c>
      <c r="P50" s="148" t="s">
        <v>246</v>
      </c>
      <c r="Q50" s="149"/>
      <c r="R50" s="150" t="str">
        <f t="shared" ca="1" si="24"/>
        <v>(Sem Código)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0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0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0.2656</v>
      </c>
      <c r="AJ50" s="553"/>
      <c r="AL50" s="574"/>
      <c r="AM50" s="431">
        <f t="shared" ca="1" si="0"/>
        <v>0</v>
      </c>
      <c r="AN50" s="617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2</v>
      </c>
      <c r="F51">
        <f t="shared" ca="1" si="5"/>
        <v>1</v>
      </c>
      <c r="G51">
        <f t="shared" ca="1" si="6"/>
        <v>0</v>
      </c>
      <c r="H51">
        <f t="shared" ca="1" si="7"/>
        <v>0</v>
      </c>
      <c r="I51">
        <f t="shared" ca="1" si="8"/>
        <v>6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t="shared" ca="1" si="24"/>
        <v>(Sem Código)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(Sem Código)</v>
      </c>
      <c r="AG51" s="550">
        <f t="shared" ca="1" si="21"/>
        <v>0</v>
      </c>
      <c r="AH51" s="551">
        <f t="shared" ca="1" si="22"/>
        <v>0.2656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2</v>
      </c>
      <c r="F52">
        <f t="shared" ca="1" si="5"/>
        <v>1</v>
      </c>
      <c r="G52">
        <f t="shared" ca="1" si="6"/>
        <v>0</v>
      </c>
      <c r="H52">
        <f t="shared" ca="1" si="7"/>
        <v>0</v>
      </c>
      <c r="I52">
        <f t="shared" ca="1" si="8"/>
        <v>6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(Sem Código)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0.2656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2</v>
      </c>
      <c r="F53">
        <f t="shared" ca="1" si="5"/>
        <v>1</v>
      </c>
      <c r="G53">
        <f t="shared" ca="1" si="6"/>
        <v>0</v>
      </c>
      <c r="H53">
        <f t="shared" ca="1" si="7"/>
        <v>0</v>
      </c>
      <c r="I53">
        <f t="shared" ca="1" si="8"/>
        <v>6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(Sem Código)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0.2656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2</v>
      </c>
      <c r="F54">
        <f t="shared" ca="1" si="5"/>
        <v>1</v>
      </c>
      <c r="G54">
        <f t="shared" ca="1" si="6"/>
        <v>0</v>
      </c>
      <c r="H54">
        <f t="shared" ca="1" si="7"/>
        <v>0</v>
      </c>
      <c r="I54">
        <f t="shared" ca="1" si="8"/>
        <v>6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0.2656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2</v>
      </c>
      <c r="F55">
        <f t="shared" ca="1" si="5"/>
        <v>1</v>
      </c>
      <c r="G55">
        <f t="shared" ca="1" si="6"/>
        <v>0</v>
      </c>
      <c r="H55">
        <f t="shared" ca="1" si="7"/>
        <v>0</v>
      </c>
      <c r="I55">
        <f t="shared" ca="1" si="8"/>
        <v>6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(Sem Código)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(Sem Código)</v>
      </c>
      <c r="AG55" s="550">
        <f t="shared" ca="1" si="21"/>
        <v>0</v>
      </c>
      <c r="AH55" s="551">
        <f t="shared" ca="1" si="22"/>
        <v>0.2656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2</v>
      </c>
      <c r="F56">
        <f t="shared" ca="1" si="5"/>
        <v>1</v>
      </c>
      <c r="G56">
        <f t="shared" ca="1" si="6"/>
        <v>0</v>
      </c>
      <c r="H56">
        <f t="shared" ca="1" si="7"/>
        <v>0</v>
      </c>
      <c r="I56">
        <f t="shared" ca="1" si="8"/>
        <v>6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(Sem Código)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0.2656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2</v>
      </c>
      <c r="F57">
        <f t="shared" ca="1" si="5"/>
        <v>1</v>
      </c>
      <c r="G57">
        <f t="shared" ca="1" si="6"/>
        <v>0</v>
      </c>
      <c r="H57">
        <f t="shared" ca="1" si="7"/>
        <v>0</v>
      </c>
      <c r="I57">
        <f t="shared" ca="1" si="8"/>
        <v>6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0.2656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2</v>
      </c>
      <c r="F58">
        <f t="shared" ca="1" si="5"/>
        <v>1</v>
      </c>
      <c r="G58">
        <f t="shared" ca="1" si="6"/>
        <v>0</v>
      </c>
      <c r="H58">
        <f t="shared" ca="1" si="7"/>
        <v>0</v>
      </c>
      <c r="I58">
        <f t="shared" ca="1" si="8"/>
        <v>6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(Sem Código)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0.2656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2</v>
      </c>
      <c r="F59">
        <f t="shared" ca="1" si="5"/>
        <v>1</v>
      </c>
      <c r="G59">
        <f t="shared" ca="1" si="6"/>
        <v>0</v>
      </c>
      <c r="H59">
        <f t="shared" ca="1" si="7"/>
        <v>0</v>
      </c>
      <c r="I59">
        <f t="shared" ca="1" si="8"/>
        <v>6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(Sem Código)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0.2656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2</v>
      </c>
      <c r="F60">
        <f t="shared" ca="1" si="5"/>
        <v>1</v>
      </c>
      <c r="G60">
        <f t="shared" ca="1" si="6"/>
        <v>0</v>
      </c>
      <c r="H60">
        <f t="shared" ca="1" si="7"/>
        <v>0</v>
      </c>
      <c r="I60">
        <f t="shared" ca="1" si="8"/>
        <v>6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0.2656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2</v>
      </c>
      <c r="F61">
        <f t="shared" ca="1" si="5"/>
        <v>1</v>
      </c>
      <c r="G61">
        <f t="shared" ca="1" si="6"/>
        <v>0</v>
      </c>
      <c r="H61">
        <f t="shared" ca="1" si="7"/>
        <v>0</v>
      </c>
      <c r="I61">
        <f t="shared" ca="1" si="8"/>
        <v>6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(Sem Código)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(Sem Código)</v>
      </c>
      <c r="AG61" s="550">
        <f t="shared" ca="1" si="21"/>
        <v>0</v>
      </c>
      <c r="AH61" s="551">
        <f t="shared" ca="1" si="22"/>
        <v>0.2656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2</v>
      </c>
      <c r="F62">
        <f t="shared" ca="1" si="5"/>
        <v>1</v>
      </c>
      <c r="G62">
        <f t="shared" ca="1" si="6"/>
        <v>0</v>
      </c>
      <c r="H62">
        <f t="shared" ca="1" si="7"/>
        <v>0</v>
      </c>
      <c r="I62">
        <f t="shared" ca="1" si="8"/>
        <v>6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(Sem Código)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(Sem Código)</v>
      </c>
      <c r="AG62" s="550">
        <f t="shared" ca="1" si="21"/>
        <v>0</v>
      </c>
      <c r="AH62" s="551">
        <f t="shared" ca="1" si="22"/>
        <v>0.2656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2</v>
      </c>
      <c r="F63">
        <f t="shared" ca="1" si="5"/>
        <v>1</v>
      </c>
      <c r="G63">
        <f t="shared" ca="1" si="6"/>
        <v>0</v>
      </c>
      <c r="H63">
        <f t="shared" ca="1" si="7"/>
        <v>0</v>
      </c>
      <c r="I63">
        <f t="shared" ca="1" si="8"/>
        <v>6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(Sem Código)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(Sem Código)</v>
      </c>
      <c r="AG63" s="550">
        <f t="shared" ca="1" si="21"/>
        <v>0</v>
      </c>
      <c r="AH63" s="551">
        <f t="shared" ca="1" si="22"/>
        <v>0.2656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2</v>
      </c>
      <c r="F64">
        <f t="shared" ca="1" si="5"/>
        <v>1</v>
      </c>
      <c r="G64">
        <f t="shared" ca="1" si="6"/>
        <v>0</v>
      </c>
      <c r="H64">
        <f t="shared" ca="1" si="7"/>
        <v>0</v>
      </c>
      <c r="I64">
        <f t="shared" ca="1" si="8"/>
        <v>6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(Sem Código)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(Sem Código)</v>
      </c>
      <c r="AG64" s="550">
        <f t="shared" ca="1" si="21"/>
        <v>0</v>
      </c>
      <c r="AH64" s="551">
        <f t="shared" ca="1" si="22"/>
        <v>0.2656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2</v>
      </c>
      <c r="F65">
        <f t="shared" ca="1" si="5"/>
        <v>1</v>
      </c>
      <c r="G65">
        <f t="shared" ca="1" si="6"/>
        <v>0</v>
      </c>
      <c r="H65">
        <f t="shared" ca="1" si="7"/>
        <v>0</v>
      </c>
      <c r="I65">
        <f t="shared" ca="1" si="8"/>
        <v>6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0.2656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2</v>
      </c>
      <c r="F66">
        <f t="shared" ca="1" si="5"/>
        <v>1</v>
      </c>
      <c r="G66">
        <f t="shared" ca="1" si="6"/>
        <v>0</v>
      </c>
      <c r="H66">
        <f t="shared" ca="1" si="7"/>
        <v>0</v>
      </c>
      <c r="I66">
        <f t="shared" ca="1" si="8"/>
        <v>6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(Sem Código)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0.2656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2</v>
      </c>
      <c r="F67">
        <f t="shared" ca="1" si="5"/>
        <v>1</v>
      </c>
      <c r="G67">
        <f t="shared" ca="1" si="6"/>
        <v>0</v>
      </c>
      <c r="H67">
        <f t="shared" ca="1" si="7"/>
        <v>0</v>
      </c>
      <c r="I67">
        <f t="shared" ca="1" si="8"/>
        <v>6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(Sem Código)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(Sem Código)</v>
      </c>
      <c r="AG67" s="550">
        <f t="shared" ca="1" si="21"/>
        <v>0</v>
      </c>
      <c r="AH67" s="551">
        <f t="shared" ca="1" si="22"/>
        <v>0.2656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2</v>
      </c>
      <c r="F68">
        <f t="shared" ca="1" si="5"/>
        <v>1</v>
      </c>
      <c r="G68">
        <f t="shared" ca="1" si="6"/>
        <v>0</v>
      </c>
      <c r="H68">
        <f t="shared" ca="1" si="7"/>
        <v>0</v>
      </c>
      <c r="I68">
        <f t="shared" ca="1" si="8"/>
        <v>6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(Sem Código)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(Sem Código)</v>
      </c>
      <c r="AG68" s="550">
        <f t="shared" ca="1" si="21"/>
        <v>0</v>
      </c>
      <c r="AH68" s="551">
        <f t="shared" ca="1" si="22"/>
        <v>0.2656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2</v>
      </c>
      <c r="F69">
        <f t="shared" ca="1" si="5"/>
        <v>1</v>
      </c>
      <c r="G69">
        <f t="shared" ca="1" si="6"/>
        <v>0</v>
      </c>
      <c r="H69">
        <f t="shared" ca="1" si="7"/>
        <v>0</v>
      </c>
      <c r="I69">
        <f t="shared" ca="1" si="8"/>
        <v>6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(Sem Código)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0.2656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2</v>
      </c>
      <c r="F70">
        <f t="shared" ca="1" si="5"/>
        <v>1</v>
      </c>
      <c r="G70">
        <f t="shared" ca="1" si="6"/>
        <v>0</v>
      </c>
      <c r="H70">
        <f t="shared" ca="1" si="7"/>
        <v>0</v>
      </c>
      <c r="I70">
        <f t="shared" ca="1" si="8"/>
        <v>6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0.2656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2</v>
      </c>
      <c r="F71">
        <f t="shared" ca="1" si="5"/>
        <v>1</v>
      </c>
      <c r="G71">
        <f t="shared" ca="1" si="6"/>
        <v>0</v>
      </c>
      <c r="H71">
        <f t="shared" ca="1" si="7"/>
        <v>0</v>
      </c>
      <c r="I71">
        <f t="shared" ca="1" si="8"/>
        <v>6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0.2656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2</v>
      </c>
      <c r="F72">
        <f t="shared" ca="1" si="5"/>
        <v>1</v>
      </c>
      <c r="G72">
        <f t="shared" ca="1" si="6"/>
        <v>0</v>
      </c>
      <c r="H72">
        <f t="shared" ca="1" si="7"/>
        <v>0</v>
      </c>
      <c r="I72">
        <f t="shared" ca="1" si="8"/>
        <v>6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0.2656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2</v>
      </c>
      <c r="F73">
        <f t="shared" ca="1" si="5"/>
        <v>1</v>
      </c>
      <c r="G73">
        <f t="shared" ca="1" si="6"/>
        <v>0</v>
      </c>
      <c r="H73">
        <f t="shared" ca="1" si="7"/>
        <v>0</v>
      </c>
      <c r="I73">
        <f t="shared" ca="1" si="8"/>
        <v>6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0.2656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2</v>
      </c>
      <c r="F74">
        <f t="shared" ca="1" si="5"/>
        <v>1</v>
      </c>
      <c r="G74">
        <f t="shared" ca="1" si="6"/>
        <v>0</v>
      </c>
      <c r="H74">
        <f t="shared" ca="1" si="7"/>
        <v>0</v>
      </c>
      <c r="I74">
        <f t="shared" ca="1" si="8"/>
        <v>6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(Sem Código)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0.2656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2</v>
      </c>
      <c r="F75">
        <f t="shared" ca="1" si="5"/>
        <v>1</v>
      </c>
      <c r="G75">
        <f t="shared" ca="1" si="6"/>
        <v>0</v>
      </c>
      <c r="H75">
        <f t="shared" ca="1" si="7"/>
        <v>0</v>
      </c>
      <c r="I75">
        <f t="shared" ca="1" si="8"/>
        <v>6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(Sem Código)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(Sem Código)</v>
      </c>
      <c r="AG75" s="550">
        <f t="shared" ca="1" si="21"/>
        <v>0</v>
      </c>
      <c r="AH75" s="551">
        <f t="shared" ca="1" si="22"/>
        <v>0.2656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2</v>
      </c>
      <c r="F76">
        <f t="shared" ca="1" si="5"/>
        <v>1</v>
      </c>
      <c r="G76">
        <f t="shared" ca="1" si="6"/>
        <v>0</v>
      </c>
      <c r="H76">
        <f t="shared" ca="1" si="7"/>
        <v>0</v>
      </c>
      <c r="I76">
        <f t="shared" ca="1" si="8"/>
        <v>6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(Sem Código)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(Sem Código)</v>
      </c>
      <c r="AG76" s="550">
        <f t="shared" ca="1" si="21"/>
        <v>0</v>
      </c>
      <c r="AH76" s="551">
        <f t="shared" ca="1" si="22"/>
        <v>0.2656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2</v>
      </c>
      <c r="F77">
        <f t="shared" ca="1" si="5"/>
        <v>1</v>
      </c>
      <c r="G77">
        <f t="shared" ca="1" si="6"/>
        <v>0</v>
      </c>
      <c r="H77">
        <f t="shared" ca="1" si="7"/>
        <v>0</v>
      </c>
      <c r="I77">
        <f t="shared" ca="1" si="8"/>
        <v>6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(Sem Código)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(Sem Código)</v>
      </c>
      <c r="AG77" s="550">
        <f t="shared" ca="1" si="21"/>
        <v>0</v>
      </c>
      <c r="AH77" s="551">
        <f t="shared" ca="1" si="22"/>
        <v>0.2656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2</v>
      </c>
      <c r="F78">
        <f t="shared" ca="1" si="5"/>
        <v>1</v>
      </c>
      <c r="G78">
        <f t="shared" ca="1" si="6"/>
        <v>0</v>
      </c>
      <c r="H78">
        <f t="shared" ca="1" si="7"/>
        <v>0</v>
      </c>
      <c r="I78">
        <f t="shared" ca="1" si="8"/>
        <v>6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246</v>
      </c>
      <c r="Q78" s="149"/>
      <c r="R78" s="150" t="str">
        <f t="shared" ca="1" si="24"/>
        <v>(Sem Código)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0.2656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2</v>
      </c>
      <c r="F79">
        <f t="shared" ca="1" si="5"/>
        <v>1</v>
      </c>
      <c r="G79">
        <f t="shared" ca="1" si="6"/>
        <v>0</v>
      </c>
      <c r="H79">
        <f t="shared" ca="1" si="7"/>
        <v>0</v>
      </c>
      <c r="I79">
        <f t="shared" ca="1" si="8"/>
        <v>6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246</v>
      </c>
      <c r="Q79" s="149"/>
      <c r="R79" s="150" t="str">
        <f t="shared" ca="1" si="24"/>
        <v>(Sem Código)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0.2656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2</v>
      </c>
      <c r="F80">
        <f t="shared" ref="F80:F143" ca="1" si="29">IF($C80=1,0,IF($C80=2,OFFSET(F80,-1,0)+1,OFFSET(F80,-1,0)))</f>
        <v>1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6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(Sem Código)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0.2656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2</v>
      </c>
      <c r="F81">
        <f t="shared" ca="1" si="29"/>
        <v>1</v>
      </c>
      <c r="G81">
        <f t="shared" ca="1" si="30"/>
        <v>0</v>
      </c>
      <c r="H81">
        <f t="shared" ca="1" si="31"/>
        <v>0</v>
      </c>
      <c r="I81">
        <f t="shared" ca="1" si="32"/>
        <v>6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(Sem Código)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(Sem Código)</v>
      </c>
      <c r="AG81" s="550">
        <f t="shared" ca="1" si="46"/>
        <v>0</v>
      </c>
      <c r="AH81" s="551">
        <f t="shared" ca="1" si="47"/>
        <v>0.2656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2</v>
      </c>
      <c r="F82">
        <f t="shared" ca="1" si="29"/>
        <v>1</v>
      </c>
      <c r="G82">
        <f t="shared" ca="1" si="30"/>
        <v>0</v>
      </c>
      <c r="H82">
        <f t="shared" ca="1" si="31"/>
        <v>0</v>
      </c>
      <c r="I82">
        <f t="shared" ca="1" si="32"/>
        <v>6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246</v>
      </c>
      <c r="Q82" s="149"/>
      <c r="R82" s="150" t="str">
        <f t="shared" ca="1" si="37"/>
        <v>(Sem Código)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(Sem Código)</v>
      </c>
      <c r="AG82" s="550">
        <f t="shared" ca="1" si="46"/>
        <v>0</v>
      </c>
      <c r="AH82" s="551">
        <f t="shared" ca="1" si="47"/>
        <v>0.2656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2</v>
      </c>
      <c r="F83">
        <f t="shared" ca="1" si="29"/>
        <v>1</v>
      </c>
      <c r="G83">
        <f t="shared" ca="1" si="30"/>
        <v>0</v>
      </c>
      <c r="H83">
        <f t="shared" ca="1" si="31"/>
        <v>0</v>
      </c>
      <c r="I83">
        <f t="shared" ca="1" si="32"/>
        <v>6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(Sem Código)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(Sem Código)</v>
      </c>
      <c r="AG83" s="550">
        <f t="shared" ca="1" si="46"/>
        <v>0</v>
      </c>
      <c r="AH83" s="551">
        <f t="shared" ca="1" si="47"/>
        <v>0.2656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2</v>
      </c>
      <c r="F84">
        <f t="shared" ca="1" si="29"/>
        <v>1</v>
      </c>
      <c r="G84">
        <f t="shared" ca="1" si="30"/>
        <v>0</v>
      </c>
      <c r="H84">
        <f t="shared" ca="1" si="31"/>
        <v>0</v>
      </c>
      <c r="I84">
        <f t="shared" ca="1" si="32"/>
        <v>6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(Sem Código)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(Sem Código)</v>
      </c>
      <c r="AG84" s="550">
        <f t="shared" ca="1" si="46"/>
        <v>0</v>
      </c>
      <c r="AH84" s="551">
        <f t="shared" ca="1" si="47"/>
        <v>0.2656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2</v>
      </c>
      <c r="F85">
        <f t="shared" ca="1" si="29"/>
        <v>1</v>
      </c>
      <c r="G85">
        <f t="shared" ca="1" si="30"/>
        <v>0</v>
      </c>
      <c r="H85">
        <f t="shared" ca="1" si="31"/>
        <v>0</v>
      </c>
      <c r="I85">
        <f t="shared" ca="1" si="32"/>
        <v>6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(Sem Código)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(Sem Código)</v>
      </c>
      <c r="AG85" s="550">
        <f t="shared" ca="1" si="46"/>
        <v>0</v>
      </c>
      <c r="AH85" s="551">
        <f t="shared" ca="1" si="47"/>
        <v>0.2656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2</v>
      </c>
      <c r="F86">
        <f t="shared" ca="1" si="29"/>
        <v>1</v>
      </c>
      <c r="G86">
        <f t="shared" ca="1" si="30"/>
        <v>0</v>
      </c>
      <c r="H86">
        <f t="shared" ca="1" si="31"/>
        <v>0</v>
      </c>
      <c r="I86">
        <f t="shared" ca="1" si="32"/>
        <v>6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(Sem Código)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(Sem Código)</v>
      </c>
      <c r="AG86" s="550">
        <f t="shared" ca="1" si="46"/>
        <v>0</v>
      </c>
      <c r="AH86" s="551">
        <f t="shared" ca="1" si="47"/>
        <v>0.2656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2</v>
      </c>
      <c r="F87">
        <f t="shared" ca="1" si="29"/>
        <v>1</v>
      </c>
      <c r="G87">
        <f t="shared" ca="1" si="30"/>
        <v>0</v>
      </c>
      <c r="H87">
        <f t="shared" ca="1" si="31"/>
        <v>0</v>
      </c>
      <c r="I87">
        <f t="shared" ca="1" si="32"/>
        <v>6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(Sem Código)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(Sem Código)</v>
      </c>
      <c r="AG87" s="550">
        <f t="shared" ca="1" si="46"/>
        <v>0</v>
      </c>
      <c r="AH87" s="551">
        <f t="shared" ca="1" si="47"/>
        <v>0.2656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2</v>
      </c>
      <c r="F88">
        <f t="shared" ca="1" si="29"/>
        <v>1</v>
      </c>
      <c r="G88">
        <f t="shared" ca="1" si="30"/>
        <v>0</v>
      </c>
      <c r="H88">
        <f t="shared" ca="1" si="31"/>
        <v>0</v>
      </c>
      <c r="I88">
        <f t="shared" ca="1" si="32"/>
        <v>6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(Sem Código)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(Sem Código)</v>
      </c>
      <c r="AG88" s="550">
        <f t="shared" ca="1" si="46"/>
        <v>0</v>
      </c>
      <c r="AH88" s="551">
        <f t="shared" ca="1" si="47"/>
        <v>0.2656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2</v>
      </c>
      <c r="F89">
        <f t="shared" ca="1" si="29"/>
        <v>1</v>
      </c>
      <c r="G89">
        <f t="shared" ca="1" si="30"/>
        <v>0</v>
      </c>
      <c r="H89">
        <f t="shared" ca="1" si="31"/>
        <v>0</v>
      </c>
      <c r="I89">
        <f t="shared" ca="1" si="32"/>
        <v>6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0.2656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2</v>
      </c>
      <c r="F90">
        <f t="shared" ca="1" si="29"/>
        <v>1</v>
      </c>
      <c r="G90">
        <f t="shared" ca="1" si="30"/>
        <v>0</v>
      </c>
      <c r="H90">
        <f t="shared" ca="1" si="31"/>
        <v>0</v>
      </c>
      <c r="I90">
        <f t="shared" ca="1" si="32"/>
        <v>6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0.2656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2</v>
      </c>
      <c r="F91">
        <f t="shared" ca="1" si="29"/>
        <v>1</v>
      </c>
      <c r="G91">
        <f t="shared" ca="1" si="30"/>
        <v>0</v>
      </c>
      <c r="H91">
        <f t="shared" ca="1" si="31"/>
        <v>0</v>
      </c>
      <c r="I91">
        <f t="shared" ca="1" si="32"/>
        <v>6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(Sem Código)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0.2656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2</v>
      </c>
      <c r="F92">
        <f t="shared" ca="1" si="29"/>
        <v>1</v>
      </c>
      <c r="G92">
        <f t="shared" ca="1" si="30"/>
        <v>0</v>
      </c>
      <c r="H92">
        <f t="shared" ca="1" si="31"/>
        <v>0</v>
      </c>
      <c r="I92">
        <f t="shared" ca="1" si="32"/>
        <v>6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0.2656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2</v>
      </c>
      <c r="F93">
        <f t="shared" ca="1" si="29"/>
        <v>1</v>
      </c>
      <c r="G93">
        <f t="shared" ca="1" si="30"/>
        <v>0</v>
      </c>
      <c r="H93">
        <f t="shared" ca="1" si="31"/>
        <v>0</v>
      </c>
      <c r="I93">
        <f t="shared" ca="1" si="32"/>
        <v>6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(Sem Código)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0.2656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2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6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(Sem Código)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(Sem Código)</v>
      </c>
      <c r="AG94" s="550">
        <f t="shared" ca="1" si="46"/>
        <v>0</v>
      </c>
      <c r="AH94" s="551">
        <f t="shared" ca="1" si="47"/>
        <v>0.2656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2</v>
      </c>
      <c r="F95">
        <f t="shared" ca="1" si="29"/>
        <v>1</v>
      </c>
      <c r="G95">
        <f t="shared" ca="1" si="30"/>
        <v>0</v>
      </c>
      <c r="H95">
        <f t="shared" ca="1" si="31"/>
        <v>0</v>
      </c>
      <c r="I95">
        <f t="shared" ca="1" si="32"/>
        <v>6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(Sem Código)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(Sem Código)</v>
      </c>
      <c r="AG95" s="550">
        <f t="shared" ca="1" si="46"/>
        <v>0</v>
      </c>
      <c r="AH95" s="551">
        <f t="shared" ca="1" si="47"/>
        <v>0.2656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2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6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(Sem Código)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(Sem Código)</v>
      </c>
      <c r="AG96" s="550">
        <f t="shared" ca="1" si="46"/>
        <v>0</v>
      </c>
      <c r="AH96" s="551">
        <f t="shared" ca="1" si="47"/>
        <v>0.2656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2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6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(Sem Código)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(Sem Código)</v>
      </c>
      <c r="AG97" s="550">
        <f t="shared" ca="1" si="46"/>
        <v>0</v>
      </c>
      <c r="AH97" s="551">
        <f t="shared" ca="1" si="47"/>
        <v>0.2656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2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6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(Sem Código)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(Sem Código)</v>
      </c>
      <c r="AG98" s="550">
        <f t="shared" ca="1" si="46"/>
        <v>0</v>
      </c>
      <c r="AH98" s="551">
        <f t="shared" ca="1" si="47"/>
        <v>0.2656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2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6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(Sem Código)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0.2656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2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6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0.2656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2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6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(Sem Código)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0.2656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2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6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(Sem Código)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(Sem Código)</v>
      </c>
      <c r="AG102" s="550">
        <f t="shared" ca="1" si="46"/>
        <v>0</v>
      </c>
      <c r="AH102" s="551">
        <f t="shared" ca="1" si="47"/>
        <v>0.2656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2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6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(Sem Código)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(Sem Código)</v>
      </c>
      <c r="AG103" s="550">
        <f t="shared" ca="1" si="46"/>
        <v>0</v>
      </c>
      <c r="AH103" s="551">
        <f t="shared" ca="1" si="47"/>
        <v>0.2656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2</v>
      </c>
      <c r="F104">
        <f t="shared" ca="1" si="29"/>
        <v>1</v>
      </c>
      <c r="G104">
        <f t="shared" ca="1" si="30"/>
        <v>0</v>
      </c>
      <c r="H104">
        <f t="shared" ca="1" si="31"/>
        <v>0</v>
      </c>
      <c r="I104">
        <f t="shared" ca="1" si="32"/>
        <v>6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(Sem Código)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(Sem Código)</v>
      </c>
      <c r="AG104" s="550">
        <f t="shared" ca="1" si="46"/>
        <v>0</v>
      </c>
      <c r="AH104" s="551">
        <f t="shared" ca="1" si="47"/>
        <v>0.2656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2</v>
      </c>
      <c r="F105">
        <f t="shared" ca="1" si="29"/>
        <v>1</v>
      </c>
      <c r="G105">
        <f t="shared" ca="1" si="30"/>
        <v>0</v>
      </c>
      <c r="H105">
        <f t="shared" ca="1" si="31"/>
        <v>0</v>
      </c>
      <c r="I105">
        <f t="shared" ca="1" si="32"/>
        <v>6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(Sem Código)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(Sem Código)</v>
      </c>
      <c r="AG105" s="550">
        <f t="shared" ca="1" si="46"/>
        <v>0</v>
      </c>
      <c r="AH105" s="551">
        <f t="shared" ca="1" si="47"/>
        <v>0.2656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2</v>
      </c>
      <c r="F106">
        <f t="shared" ca="1" si="29"/>
        <v>1</v>
      </c>
      <c r="G106">
        <f t="shared" ca="1" si="30"/>
        <v>0</v>
      </c>
      <c r="H106">
        <f t="shared" ca="1" si="31"/>
        <v>0</v>
      </c>
      <c r="I106">
        <f t="shared" ca="1" si="32"/>
        <v>6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0.2656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2</v>
      </c>
      <c r="F107">
        <f t="shared" ca="1" si="29"/>
        <v>1</v>
      </c>
      <c r="G107">
        <f t="shared" ca="1" si="30"/>
        <v>0</v>
      </c>
      <c r="H107">
        <f t="shared" ca="1" si="31"/>
        <v>0</v>
      </c>
      <c r="I107">
        <f t="shared" ca="1" si="32"/>
        <v>6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0.2656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2</v>
      </c>
      <c r="F108">
        <f t="shared" ca="1" si="29"/>
        <v>1</v>
      </c>
      <c r="G108">
        <f t="shared" ca="1" si="30"/>
        <v>0</v>
      </c>
      <c r="H108">
        <f t="shared" ca="1" si="31"/>
        <v>0</v>
      </c>
      <c r="I108">
        <f t="shared" ca="1" si="32"/>
        <v>6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(Sem Código)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0.2656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2</v>
      </c>
      <c r="F109">
        <f t="shared" ca="1" si="29"/>
        <v>1</v>
      </c>
      <c r="G109">
        <f t="shared" ca="1" si="30"/>
        <v>0</v>
      </c>
      <c r="H109">
        <f t="shared" ca="1" si="31"/>
        <v>0</v>
      </c>
      <c r="I109">
        <f t="shared" ca="1" si="32"/>
        <v>6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(Sem Código)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(Sem Código)</v>
      </c>
      <c r="AG109" s="550">
        <f t="shared" ca="1" si="46"/>
        <v>0</v>
      </c>
      <c r="AH109" s="551">
        <f t="shared" ca="1" si="47"/>
        <v>0.2656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2</v>
      </c>
      <c r="F110">
        <f t="shared" ca="1" si="29"/>
        <v>1</v>
      </c>
      <c r="G110">
        <f t="shared" ca="1" si="30"/>
        <v>0</v>
      </c>
      <c r="H110">
        <f t="shared" ca="1" si="31"/>
        <v>0</v>
      </c>
      <c r="I110">
        <f t="shared" ca="1" si="32"/>
        <v>6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(Sem Código)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(Sem Código)</v>
      </c>
      <c r="AG110" s="550">
        <f t="shared" ca="1" si="46"/>
        <v>0</v>
      </c>
      <c r="AH110" s="551">
        <f t="shared" ca="1" si="47"/>
        <v>0.2656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2</v>
      </c>
      <c r="F111">
        <f t="shared" ca="1" si="29"/>
        <v>1</v>
      </c>
      <c r="G111">
        <f t="shared" ca="1" si="30"/>
        <v>0</v>
      </c>
      <c r="H111">
        <f t="shared" ca="1" si="31"/>
        <v>0</v>
      </c>
      <c r="I111">
        <f t="shared" ca="1" si="32"/>
        <v>6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0.2656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2</v>
      </c>
      <c r="F112">
        <f t="shared" ca="1" si="29"/>
        <v>1</v>
      </c>
      <c r="G112">
        <f t="shared" ca="1" si="30"/>
        <v>0</v>
      </c>
      <c r="H112">
        <f t="shared" ca="1" si="31"/>
        <v>0</v>
      </c>
      <c r="I112">
        <f t="shared" ca="1" si="32"/>
        <v>6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0.2656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2</v>
      </c>
      <c r="F113">
        <f t="shared" ca="1" si="29"/>
        <v>1</v>
      </c>
      <c r="G113">
        <f t="shared" ca="1" si="30"/>
        <v>0</v>
      </c>
      <c r="H113">
        <f t="shared" ca="1" si="31"/>
        <v>0</v>
      </c>
      <c r="I113">
        <f t="shared" ca="1" si="32"/>
        <v>6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0.2656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2</v>
      </c>
      <c r="F114">
        <f t="shared" ca="1" si="29"/>
        <v>1</v>
      </c>
      <c r="G114">
        <f t="shared" ca="1" si="30"/>
        <v>0</v>
      </c>
      <c r="H114">
        <f t="shared" ca="1" si="31"/>
        <v>0</v>
      </c>
      <c r="I114">
        <f t="shared" ca="1" si="32"/>
        <v>6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0.2656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2</v>
      </c>
      <c r="F115">
        <f t="shared" ca="1" si="29"/>
        <v>1</v>
      </c>
      <c r="G115">
        <f t="shared" ca="1" si="30"/>
        <v>0</v>
      </c>
      <c r="H115">
        <f t="shared" ca="1" si="31"/>
        <v>0</v>
      </c>
      <c r="I115">
        <f t="shared" ca="1" si="32"/>
        <v>6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(Sem Código)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0.2656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2</v>
      </c>
      <c r="F116">
        <f t="shared" ca="1" si="29"/>
        <v>1</v>
      </c>
      <c r="G116">
        <f t="shared" ca="1" si="30"/>
        <v>0</v>
      </c>
      <c r="H116">
        <f t="shared" ca="1" si="31"/>
        <v>0</v>
      </c>
      <c r="I116">
        <f t="shared" ca="1" si="32"/>
        <v>6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(Sem Código)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0.2656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2</v>
      </c>
      <c r="F117">
        <f t="shared" ca="1" si="29"/>
        <v>1</v>
      </c>
      <c r="G117">
        <f t="shared" ca="1" si="30"/>
        <v>0</v>
      </c>
      <c r="H117">
        <f t="shared" ca="1" si="31"/>
        <v>0</v>
      </c>
      <c r="I117">
        <f t="shared" ca="1" si="32"/>
        <v>6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(Sem Código)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(Sem Código)</v>
      </c>
      <c r="AG117" s="550">
        <f t="shared" ca="1" si="46"/>
        <v>0</v>
      </c>
      <c r="AH117" s="551">
        <f t="shared" ca="1" si="47"/>
        <v>0.2656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2</v>
      </c>
      <c r="F118">
        <f t="shared" ca="1" si="29"/>
        <v>1</v>
      </c>
      <c r="G118">
        <f t="shared" ca="1" si="30"/>
        <v>0</v>
      </c>
      <c r="H118">
        <f t="shared" ca="1" si="31"/>
        <v>0</v>
      </c>
      <c r="I118">
        <f t="shared" ca="1" si="32"/>
        <v>6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(Sem Código)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(Sem Código)</v>
      </c>
      <c r="AG118" s="550">
        <f t="shared" ca="1" si="46"/>
        <v>0</v>
      </c>
      <c r="AH118" s="551">
        <f t="shared" ca="1" si="47"/>
        <v>0.2656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2</v>
      </c>
      <c r="F119">
        <f t="shared" ca="1" si="29"/>
        <v>1</v>
      </c>
      <c r="G119">
        <f t="shared" ca="1" si="30"/>
        <v>0</v>
      </c>
      <c r="H119">
        <f t="shared" ca="1" si="31"/>
        <v>0</v>
      </c>
      <c r="I119">
        <f t="shared" ca="1" si="32"/>
        <v>6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(Sem Código)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(Sem Código)</v>
      </c>
      <c r="AG119" s="550">
        <f t="shared" ca="1" si="46"/>
        <v>0</v>
      </c>
      <c r="AH119" s="551">
        <f t="shared" ca="1" si="47"/>
        <v>0.2656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2</v>
      </c>
      <c r="F120">
        <f t="shared" ca="1" si="29"/>
        <v>1</v>
      </c>
      <c r="G120">
        <f t="shared" ca="1" si="30"/>
        <v>0</v>
      </c>
      <c r="H120">
        <f t="shared" ca="1" si="31"/>
        <v>0</v>
      </c>
      <c r="I120">
        <f t="shared" ca="1" si="32"/>
        <v>6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0.2656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2</v>
      </c>
      <c r="F121">
        <f t="shared" ca="1" si="29"/>
        <v>1</v>
      </c>
      <c r="G121">
        <f t="shared" ca="1" si="30"/>
        <v>0</v>
      </c>
      <c r="H121">
        <f t="shared" ca="1" si="31"/>
        <v>0</v>
      </c>
      <c r="I121">
        <f t="shared" ca="1" si="32"/>
        <v>6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0.2656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2</v>
      </c>
      <c r="F122">
        <f t="shared" ca="1" si="29"/>
        <v>1</v>
      </c>
      <c r="G122">
        <f t="shared" ca="1" si="30"/>
        <v>0</v>
      </c>
      <c r="H122">
        <f t="shared" ca="1" si="31"/>
        <v>0</v>
      </c>
      <c r="I122">
        <f t="shared" ca="1" si="32"/>
        <v>6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0.2656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2</v>
      </c>
      <c r="F123">
        <f t="shared" ca="1" si="29"/>
        <v>1</v>
      </c>
      <c r="G123">
        <f t="shared" ca="1" si="30"/>
        <v>0</v>
      </c>
      <c r="H123">
        <f t="shared" ca="1" si="31"/>
        <v>0</v>
      </c>
      <c r="I123">
        <f t="shared" ca="1" si="32"/>
        <v>6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0.2656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2</v>
      </c>
      <c r="F124">
        <f t="shared" ca="1" si="29"/>
        <v>1</v>
      </c>
      <c r="G124">
        <f t="shared" ca="1" si="30"/>
        <v>0</v>
      </c>
      <c r="H124">
        <f t="shared" ca="1" si="31"/>
        <v>0</v>
      </c>
      <c r="I124">
        <f t="shared" ca="1" si="32"/>
        <v>6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0.2656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2</v>
      </c>
      <c r="F125">
        <f t="shared" ca="1" si="29"/>
        <v>1</v>
      </c>
      <c r="G125">
        <f t="shared" ca="1" si="30"/>
        <v>0</v>
      </c>
      <c r="H125">
        <f t="shared" ca="1" si="31"/>
        <v>0</v>
      </c>
      <c r="I125">
        <f t="shared" ca="1" si="32"/>
        <v>6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0.2656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2</v>
      </c>
      <c r="F126">
        <f t="shared" ca="1" si="29"/>
        <v>1</v>
      </c>
      <c r="G126">
        <f t="shared" ca="1" si="30"/>
        <v>0</v>
      </c>
      <c r="H126">
        <f t="shared" ca="1" si="31"/>
        <v>0</v>
      </c>
      <c r="I126">
        <f t="shared" ca="1" si="32"/>
        <v>6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0.2656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2</v>
      </c>
      <c r="F127">
        <f t="shared" ca="1" si="29"/>
        <v>1</v>
      </c>
      <c r="G127">
        <f t="shared" ca="1" si="30"/>
        <v>0</v>
      </c>
      <c r="H127">
        <f t="shared" ca="1" si="31"/>
        <v>0</v>
      </c>
      <c r="I127">
        <f t="shared" ca="1" si="32"/>
        <v>6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(Sem Código)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0.2656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2</v>
      </c>
      <c r="F128">
        <f t="shared" ca="1" si="29"/>
        <v>1</v>
      </c>
      <c r="G128">
        <f t="shared" ca="1" si="30"/>
        <v>0</v>
      </c>
      <c r="H128">
        <f t="shared" ca="1" si="31"/>
        <v>0</v>
      </c>
      <c r="I128">
        <f t="shared" ca="1" si="32"/>
        <v>6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(Sem Código)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(Sem Código)</v>
      </c>
      <c r="AG128" s="550">
        <f t="shared" ca="1" si="46"/>
        <v>0</v>
      </c>
      <c r="AH128" s="551">
        <f t="shared" ca="1" si="47"/>
        <v>0.2656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2</v>
      </c>
      <c r="F129">
        <f t="shared" ca="1" si="29"/>
        <v>1</v>
      </c>
      <c r="G129">
        <f t="shared" ca="1" si="30"/>
        <v>0</v>
      </c>
      <c r="H129">
        <f t="shared" ca="1" si="31"/>
        <v>0</v>
      </c>
      <c r="I129">
        <f t="shared" ca="1" si="32"/>
        <v>6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(Sem Código)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(Sem Código)</v>
      </c>
      <c r="AG129" s="550">
        <f t="shared" ca="1" si="46"/>
        <v>0</v>
      </c>
      <c r="AH129" s="551">
        <f t="shared" ca="1" si="47"/>
        <v>0.2656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2</v>
      </c>
      <c r="F130">
        <f t="shared" ca="1" si="29"/>
        <v>1</v>
      </c>
      <c r="G130">
        <f t="shared" ca="1" si="30"/>
        <v>0</v>
      </c>
      <c r="H130">
        <f t="shared" ca="1" si="31"/>
        <v>0</v>
      </c>
      <c r="I130">
        <f t="shared" ca="1" si="32"/>
        <v>6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(Sem Código)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(Sem Código)</v>
      </c>
      <c r="AG130" s="550">
        <f t="shared" ca="1" si="46"/>
        <v>0</v>
      </c>
      <c r="AH130" s="551">
        <f t="shared" ca="1" si="47"/>
        <v>0.2656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2</v>
      </c>
      <c r="F131">
        <f t="shared" ca="1" si="29"/>
        <v>1</v>
      </c>
      <c r="G131">
        <f t="shared" ca="1" si="30"/>
        <v>0</v>
      </c>
      <c r="H131">
        <f t="shared" ca="1" si="31"/>
        <v>0</v>
      </c>
      <c r="I131">
        <f t="shared" ca="1" si="32"/>
        <v>6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0.2656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2</v>
      </c>
      <c r="F132">
        <f t="shared" ca="1" si="29"/>
        <v>1</v>
      </c>
      <c r="G132">
        <f t="shared" ca="1" si="30"/>
        <v>0</v>
      </c>
      <c r="H132">
        <f t="shared" ca="1" si="31"/>
        <v>0</v>
      </c>
      <c r="I132">
        <f t="shared" ca="1" si="32"/>
        <v>6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0.2656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2</v>
      </c>
      <c r="F133">
        <f t="shared" ca="1" si="29"/>
        <v>1</v>
      </c>
      <c r="G133">
        <f t="shared" ca="1" si="30"/>
        <v>0</v>
      </c>
      <c r="H133">
        <f t="shared" ca="1" si="31"/>
        <v>0</v>
      </c>
      <c r="I133">
        <f t="shared" ca="1" si="32"/>
        <v>6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0.2656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2</v>
      </c>
      <c r="F134">
        <f t="shared" ca="1" si="29"/>
        <v>1</v>
      </c>
      <c r="G134">
        <f t="shared" ca="1" si="30"/>
        <v>0</v>
      </c>
      <c r="H134">
        <f t="shared" ca="1" si="31"/>
        <v>0</v>
      </c>
      <c r="I134">
        <f t="shared" ca="1" si="32"/>
        <v>6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0.2656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2</v>
      </c>
      <c r="F135">
        <f t="shared" ca="1" si="29"/>
        <v>1</v>
      </c>
      <c r="G135">
        <f t="shared" ca="1" si="30"/>
        <v>0</v>
      </c>
      <c r="H135">
        <f t="shared" ca="1" si="31"/>
        <v>0</v>
      </c>
      <c r="I135">
        <f t="shared" ca="1" si="32"/>
        <v>6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0.2656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2</v>
      </c>
      <c r="F136">
        <f t="shared" ca="1" si="29"/>
        <v>1</v>
      </c>
      <c r="G136">
        <f t="shared" ca="1" si="30"/>
        <v>0</v>
      </c>
      <c r="H136">
        <f t="shared" ca="1" si="31"/>
        <v>0</v>
      </c>
      <c r="I136">
        <f t="shared" ca="1" si="32"/>
        <v>6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(Sem Código)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0.2656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2</v>
      </c>
      <c r="F137">
        <f t="shared" ca="1" si="29"/>
        <v>1</v>
      </c>
      <c r="G137">
        <f t="shared" ca="1" si="30"/>
        <v>0</v>
      </c>
      <c r="H137">
        <f t="shared" ca="1" si="31"/>
        <v>0</v>
      </c>
      <c r="I137">
        <f t="shared" ca="1" si="32"/>
        <v>6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(Sem Código)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(Sem Código)</v>
      </c>
      <c r="AG137" s="550">
        <f t="shared" ca="1" si="46"/>
        <v>0</v>
      </c>
      <c r="AH137" s="551">
        <f t="shared" ca="1" si="47"/>
        <v>0.2656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2</v>
      </c>
      <c r="F138">
        <f t="shared" ca="1" si="29"/>
        <v>1</v>
      </c>
      <c r="G138">
        <f t="shared" ca="1" si="30"/>
        <v>0</v>
      </c>
      <c r="H138">
        <f t="shared" ca="1" si="31"/>
        <v>0</v>
      </c>
      <c r="I138">
        <f t="shared" ca="1" si="32"/>
        <v>6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(Sem Código)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(Sem Código)</v>
      </c>
      <c r="AG138" s="550">
        <f t="shared" ca="1" si="46"/>
        <v>0</v>
      </c>
      <c r="AH138" s="551">
        <f t="shared" ca="1" si="47"/>
        <v>0.2656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2</v>
      </c>
      <c r="F139">
        <f t="shared" ca="1" si="29"/>
        <v>1</v>
      </c>
      <c r="G139">
        <f t="shared" ca="1" si="30"/>
        <v>0</v>
      </c>
      <c r="H139">
        <f t="shared" ca="1" si="31"/>
        <v>0</v>
      </c>
      <c r="I139">
        <f t="shared" ca="1" si="32"/>
        <v>6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(Sem Código)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(Sem Código)</v>
      </c>
      <c r="AG139" s="550">
        <f t="shared" ca="1" si="46"/>
        <v>0</v>
      </c>
      <c r="AH139" s="551">
        <f t="shared" ca="1" si="47"/>
        <v>0.2656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2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6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(Sem Código)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(Sem Código)</v>
      </c>
      <c r="AG140" s="550">
        <f t="shared" ca="1" si="46"/>
        <v>0</v>
      </c>
      <c r="AH140" s="551">
        <f t="shared" ca="1" si="47"/>
        <v>0.2656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2</v>
      </c>
      <c r="F141">
        <f t="shared" ca="1" si="29"/>
        <v>1</v>
      </c>
      <c r="G141">
        <f t="shared" ca="1" si="30"/>
        <v>0</v>
      </c>
      <c r="H141">
        <f t="shared" ca="1" si="31"/>
        <v>0</v>
      </c>
      <c r="I141">
        <f t="shared" ca="1" si="32"/>
        <v>6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0.2656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2</v>
      </c>
      <c r="F142">
        <f t="shared" ca="1" si="29"/>
        <v>1</v>
      </c>
      <c r="G142">
        <f t="shared" ca="1" si="30"/>
        <v>0</v>
      </c>
      <c r="H142">
        <f t="shared" ca="1" si="31"/>
        <v>0</v>
      </c>
      <c r="I142">
        <f t="shared" ca="1" si="32"/>
        <v>6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0.2656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2</v>
      </c>
      <c r="F143">
        <f t="shared" ca="1" si="29"/>
        <v>1</v>
      </c>
      <c r="G143">
        <f t="shared" ca="1" si="30"/>
        <v>0</v>
      </c>
      <c r="H143">
        <f t="shared" ca="1" si="31"/>
        <v>0</v>
      </c>
      <c r="I143">
        <f t="shared" ca="1" si="32"/>
        <v>6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0.2656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2</v>
      </c>
      <c r="F144">
        <f t="shared" ref="F144:F207" ca="1" si="54">IF($C144=1,0,IF($C144=2,OFFSET(F144,-1,0)+1,OFFSET(F144,-1,0)))</f>
        <v>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6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0.2656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2</v>
      </c>
      <c r="F145">
        <f t="shared" ca="1" si="54"/>
        <v>1</v>
      </c>
      <c r="G145">
        <f t="shared" ca="1" si="55"/>
        <v>0</v>
      </c>
      <c r="H145">
        <f t="shared" ca="1" si="56"/>
        <v>0</v>
      </c>
      <c r="I145">
        <f t="shared" ca="1" si="57"/>
        <v>6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0.2656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2</v>
      </c>
      <c r="F146">
        <f t="shared" ca="1" si="54"/>
        <v>1</v>
      </c>
      <c r="G146">
        <f t="shared" ca="1" si="55"/>
        <v>0</v>
      </c>
      <c r="H146">
        <f t="shared" ca="1" si="56"/>
        <v>0</v>
      </c>
      <c r="I146">
        <f t="shared" ca="1" si="57"/>
        <v>6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0.2656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2</v>
      </c>
      <c r="F147">
        <f t="shared" ca="1" si="54"/>
        <v>1</v>
      </c>
      <c r="G147">
        <f t="shared" ca="1" si="55"/>
        <v>0</v>
      </c>
      <c r="H147">
        <f t="shared" ca="1" si="56"/>
        <v>0</v>
      </c>
      <c r="I147">
        <f t="shared" ca="1" si="57"/>
        <v>6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0.2656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2</v>
      </c>
      <c r="F148">
        <f t="shared" ca="1" si="54"/>
        <v>1</v>
      </c>
      <c r="G148">
        <f t="shared" ca="1" si="55"/>
        <v>0</v>
      </c>
      <c r="H148">
        <f t="shared" ca="1" si="56"/>
        <v>0</v>
      </c>
      <c r="I148">
        <f t="shared" ca="1" si="57"/>
        <v>6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0.2656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2</v>
      </c>
      <c r="F149">
        <f t="shared" ca="1" si="54"/>
        <v>1</v>
      </c>
      <c r="G149">
        <f t="shared" ca="1" si="55"/>
        <v>0</v>
      </c>
      <c r="H149">
        <f t="shared" ca="1" si="56"/>
        <v>0</v>
      </c>
      <c r="I149">
        <f t="shared" ca="1" si="57"/>
        <v>6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0.2656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2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6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0.2656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2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6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0.2656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2</v>
      </c>
      <c r="F152">
        <f t="shared" ca="1" si="54"/>
        <v>1</v>
      </c>
      <c r="G152">
        <f t="shared" ca="1" si="55"/>
        <v>0</v>
      </c>
      <c r="H152">
        <f t="shared" ca="1" si="56"/>
        <v>0</v>
      </c>
      <c r="I152">
        <f t="shared" ca="1" si="57"/>
        <v>6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0.2656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2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6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0.2656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2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6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0.2656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2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6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0.2656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2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6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0.2656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2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6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0.2656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2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6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0.2656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2</v>
      </c>
      <c r="F159">
        <f t="shared" ca="1" si="54"/>
        <v>1</v>
      </c>
      <c r="G159">
        <f t="shared" ca="1" si="55"/>
        <v>0</v>
      </c>
      <c r="H159">
        <f t="shared" ca="1" si="56"/>
        <v>0</v>
      </c>
      <c r="I159">
        <f t="shared" ca="1" si="57"/>
        <v>6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0.2656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2</v>
      </c>
      <c r="F160">
        <f t="shared" ca="1" si="54"/>
        <v>1</v>
      </c>
      <c r="G160">
        <f t="shared" ca="1" si="55"/>
        <v>0</v>
      </c>
      <c r="H160">
        <f t="shared" ca="1" si="56"/>
        <v>0</v>
      </c>
      <c r="I160">
        <f t="shared" ca="1" si="57"/>
        <v>6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0.2656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2</v>
      </c>
      <c r="F161">
        <f t="shared" ca="1" si="54"/>
        <v>1</v>
      </c>
      <c r="G161">
        <f t="shared" ca="1" si="55"/>
        <v>0</v>
      </c>
      <c r="H161">
        <f t="shared" ca="1" si="56"/>
        <v>0</v>
      </c>
      <c r="I161">
        <f t="shared" ca="1" si="57"/>
        <v>6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0.2656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2</v>
      </c>
      <c r="F162">
        <f t="shared" ca="1" si="54"/>
        <v>1</v>
      </c>
      <c r="G162">
        <f t="shared" ca="1" si="55"/>
        <v>0</v>
      </c>
      <c r="H162">
        <f t="shared" ca="1" si="56"/>
        <v>0</v>
      </c>
      <c r="I162">
        <f t="shared" ca="1" si="57"/>
        <v>6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0.2656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2</v>
      </c>
      <c r="F163">
        <f t="shared" ca="1" si="54"/>
        <v>1</v>
      </c>
      <c r="G163">
        <f t="shared" ca="1" si="55"/>
        <v>0</v>
      </c>
      <c r="H163">
        <f t="shared" ca="1" si="56"/>
        <v>0</v>
      </c>
      <c r="I163">
        <f t="shared" ca="1" si="57"/>
        <v>6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0.2656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2</v>
      </c>
      <c r="F164">
        <f t="shared" ca="1" si="54"/>
        <v>1</v>
      </c>
      <c r="G164">
        <f t="shared" ca="1" si="55"/>
        <v>0</v>
      </c>
      <c r="H164">
        <f t="shared" ca="1" si="56"/>
        <v>0</v>
      </c>
      <c r="I164">
        <f t="shared" ca="1" si="57"/>
        <v>6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0.2656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2</v>
      </c>
      <c r="F165">
        <f t="shared" ca="1" si="54"/>
        <v>1</v>
      </c>
      <c r="G165">
        <f t="shared" ca="1" si="55"/>
        <v>0</v>
      </c>
      <c r="H165">
        <f t="shared" ca="1" si="56"/>
        <v>0</v>
      </c>
      <c r="I165">
        <f t="shared" ca="1" si="57"/>
        <v>6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0.2656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2</v>
      </c>
      <c r="F166">
        <f t="shared" ca="1" si="54"/>
        <v>1</v>
      </c>
      <c r="G166">
        <f t="shared" ca="1" si="55"/>
        <v>0</v>
      </c>
      <c r="H166">
        <f t="shared" ca="1" si="56"/>
        <v>0</v>
      </c>
      <c r="I166">
        <f t="shared" ca="1" si="57"/>
        <v>6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0.2656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2</v>
      </c>
      <c r="F167">
        <f t="shared" ca="1" si="54"/>
        <v>1</v>
      </c>
      <c r="G167">
        <f t="shared" ca="1" si="55"/>
        <v>0</v>
      </c>
      <c r="H167">
        <f t="shared" ca="1" si="56"/>
        <v>0</v>
      </c>
      <c r="I167">
        <f t="shared" ca="1" si="57"/>
        <v>6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0.2656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2</v>
      </c>
      <c r="F168">
        <f t="shared" ca="1" si="54"/>
        <v>1</v>
      </c>
      <c r="G168">
        <f t="shared" ca="1" si="55"/>
        <v>0</v>
      </c>
      <c r="H168">
        <f t="shared" ca="1" si="56"/>
        <v>0</v>
      </c>
      <c r="I168">
        <f t="shared" ca="1" si="57"/>
        <v>6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0.2656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2</v>
      </c>
      <c r="F169">
        <f t="shared" ca="1" si="54"/>
        <v>1</v>
      </c>
      <c r="G169">
        <f t="shared" ca="1" si="55"/>
        <v>0</v>
      </c>
      <c r="H169">
        <f t="shared" ca="1" si="56"/>
        <v>0</v>
      </c>
      <c r="I169">
        <f t="shared" ca="1" si="57"/>
        <v>6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0.2656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2</v>
      </c>
      <c r="F170">
        <f t="shared" ca="1" si="54"/>
        <v>1</v>
      </c>
      <c r="G170">
        <f t="shared" ca="1" si="55"/>
        <v>0</v>
      </c>
      <c r="H170">
        <f t="shared" ca="1" si="56"/>
        <v>0</v>
      </c>
      <c r="I170">
        <f t="shared" ca="1" si="57"/>
        <v>6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0.2656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2</v>
      </c>
      <c r="F171">
        <f t="shared" ca="1" si="54"/>
        <v>1</v>
      </c>
      <c r="G171">
        <f t="shared" ca="1" si="55"/>
        <v>0</v>
      </c>
      <c r="H171">
        <f t="shared" ca="1" si="56"/>
        <v>0</v>
      </c>
      <c r="I171">
        <f t="shared" ca="1" si="57"/>
        <v>6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0.2656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2</v>
      </c>
      <c r="F172">
        <f t="shared" ca="1" si="54"/>
        <v>1</v>
      </c>
      <c r="G172">
        <f t="shared" ca="1" si="55"/>
        <v>0</v>
      </c>
      <c r="H172">
        <f t="shared" ca="1" si="56"/>
        <v>0</v>
      </c>
      <c r="I172">
        <f t="shared" ca="1" si="57"/>
        <v>6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0.2656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2</v>
      </c>
      <c r="F173">
        <f t="shared" ca="1" si="54"/>
        <v>1</v>
      </c>
      <c r="G173">
        <f t="shared" ca="1" si="55"/>
        <v>0</v>
      </c>
      <c r="H173">
        <f t="shared" ca="1" si="56"/>
        <v>0</v>
      </c>
      <c r="I173">
        <f t="shared" ca="1" si="57"/>
        <v>6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0.2656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2</v>
      </c>
      <c r="F174">
        <f t="shared" ca="1" si="54"/>
        <v>1</v>
      </c>
      <c r="G174">
        <f t="shared" ca="1" si="55"/>
        <v>0</v>
      </c>
      <c r="H174">
        <f t="shared" ca="1" si="56"/>
        <v>0</v>
      </c>
      <c r="I174">
        <f t="shared" ca="1" si="57"/>
        <v>6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0.2656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2</v>
      </c>
      <c r="F175">
        <f t="shared" ca="1" si="54"/>
        <v>1</v>
      </c>
      <c r="G175">
        <f t="shared" ca="1" si="55"/>
        <v>0</v>
      </c>
      <c r="H175">
        <f t="shared" ca="1" si="56"/>
        <v>0</v>
      </c>
      <c r="I175">
        <f t="shared" ca="1" si="57"/>
        <v>6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0.2656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2</v>
      </c>
      <c r="F176">
        <f t="shared" ca="1" si="54"/>
        <v>1</v>
      </c>
      <c r="G176">
        <f t="shared" ca="1" si="55"/>
        <v>0</v>
      </c>
      <c r="H176">
        <f t="shared" ca="1" si="56"/>
        <v>0</v>
      </c>
      <c r="I176">
        <f t="shared" ca="1" si="57"/>
        <v>6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0.2656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2</v>
      </c>
      <c r="F177">
        <f t="shared" ca="1" si="54"/>
        <v>1</v>
      </c>
      <c r="G177">
        <f t="shared" ca="1" si="55"/>
        <v>0</v>
      </c>
      <c r="H177">
        <f t="shared" ca="1" si="56"/>
        <v>0</v>
      </c>
      <c r="I177">
        <f t="shared" ca="1" si="57"/>
        <v>6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0.2656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2</v>
      </c>
      <c r="F178">
        <f t="shared" ca="1" si="54"/>
        <v>1</v>
      </c>
      <c r="G178">
        <f t="shared" ca="1" si="55"/>
        <v>0</v>
      </c>
      <c r="H178">
        <f t="shared" ca="1" si="56"/>
        <v>0</v>
      </c>
      <c r="I178">
        <f t="shared" ca="1" si="57"/>
        <v>6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0.2656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2</v>
      </c>
      <c r="F179">
        <f t="shared" ca="1" si="54"/>
        <v>1</v>
      </c>
      <c r="G179">
        <f t="shared" ca="1" si="55"/>
        <v>0</v>
      </c>
      <c r="H179">
        <f t="shared" ca="1" si="56"/>
        <v>0</v>
      </c>
      <c r="I179">
        <f t="shared" ca="1" si="57"/>
        <v>6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0.2656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2</v>
      </c>
      <c r="F180">
        <f t="shared" ca="1" si="54"/>
        <v>1</v>
      </c>
      <c r="G180">
        <f t="shared" ca="1" si="55"/>
        <v>0</v>
      </c>
      <c r="H180">
        <f t="shared" ca="1" si="56"/>
        <v>0</v>
      </c>
      <c r="I180">
        <f t="shared" ca="1" si="57"/>
        <v>6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0.2656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2</v>
      </c>
      <c r="F181">
        <f t="shared" ca="1" si="54"/>
        <v>1</v>
      </c>
      <c r="G181">
        <f t="shared" ca="1" si="55"/>
        <v>0</v>
      </c>
      <c r="H181">
        <f t="shared" ca="1" si="56"/>
        <v>0</v>
      </c>
      <c r="I181">
        <f t="shared" ca="1" si="57"/>
        <v>6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0.2656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2</v>
      </c>
      <c r="F182">
        <f t="shared" ca="1" si="54"/>
        <v>1</v>
      </c>
      <c r="G182">
        <f t="shared" ca="1" si="55"/>
        <v>0</v>
      </c>
      <c r="H182">
        <f t="shared" ca="1" si="56"/>
        <v>0</v>
      </c>
      <c r="I182">
        <f t="shared" ca="1" si="57"/>
        <v>6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0.2656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2</v>
      </c>
      <c r="F183">
        <f t="shared" ca="1" si="54"/>
        <v>1</v>
      </c>
      <c r="G183">
        <f t="shared" ca="1" si="55"/>
        <v>0</v>
      </c>
      <c r="H183">
        <f t="shared" ca="1" si="56"/>
        <v>0</v>
      </c>
      <c r="I183">
        <f t="shared" ca="1" si="57"/>
        <v>6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0.2656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2</v>
      </c>
      <c r="F184">
        <f t="shared" ca="1" si="54"/>
        <v>1</v>
      </c>
      <c r="G184">
        <f t="shared" ca="1" si="55"/>
        <v>0</v>
      </c>
      <c r="H184">
        <f t="shared" ca="1" si="56"/>
        <v>0</v>
      </c>
      <c r="I184">
        <f t="shared" ca="1" si="57"/>
        <v>6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0.2656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2</v>
      </c>
      <c r="F185">
        <f t="shared" ca="1" si="54"/>
        <v>1</v>
      </c>
      <c r="G185">
        <f t="shared" ca="1" si="55"/>
        <v>0</v>
      </c>
      <c r="H185">
        <f t="shared" ca="1" si="56"/>
        <v>0</v>
      </c>
      <c r="I185">
        <f t="shared" ca="1" si="57"/>
        <v>6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0.2656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2</v>
      </c>
      <c r="F186">
        <f t="shared" ca="1" si="54"/>
        <v>1</v>
      </c>
      <c r="G186">
        <f t="shared" ca="1" si="55"/>
        <v>0</v>
      </c>
      <c r="H186">
        <f t="shared" ca="1" si="56"/>
        <v>0</v>
      </c>
      <c r="I186">
        <f t="shared" ca="1" si="57"/>
        <v>6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0.2656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2</v>
      </c>
      <c r="F187">
        <f t="shared" ca="1" si="54"/>
        <v>1</v>
      </c>
      <c r="G187">
        <f t="shared" ca="1" si="55"/>
        <v>0</v>
      </c>
      <c r="H187">
        <f t="shared" ca="1" si="56"/>
        <v>0</v>
      </c>
      <c r="I187">
        <f t="shared" ca="1" si="57"/>
        <v>6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0.2656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2</v>
      </c>
      <c r="F188">
        <f t="shared" ca="1" si="54"/>
        <v>1</v>
      </c>
      <c r="G188">
        <f t="shared" ca="1" si="55"/>
        <v>0</v>
      </c>
      <c r="H188">
        <f t="shared" ca="1" si="56"/>
        <v>0</v>
      </c>
      <c r="I188">
        <f t="shared" ca="1" si="57"/>
        <v>6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0.2656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2</v>
      </c>
      <c r="F189">
        <f t="shared" ca="1" si="54"/>
        <v>1</v>
      </c>
      <c r="G189">
        <f t="shared" ca="1" si="55"/>
        <v>0</v>
      </c>
      <c r="H189">
        <f t="shared" ca="1" si="56"/>
        <v>0</v>
      </c>
      <c r="I189">
        <f t="shared" ca="1" si="57"/>
        <v>6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0.2656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2</v>
      </c>
      <c r="F190">
        <f t="shared" ca="1" si="54"/>
        <v>1</v>
      </c>
      <c r="G190">
        <f t="shared" ca="1" si="55"/>
        <v>0</v>
      </c>
      <c r="H190">
        <f t="shared" ca="1" si="56"/>
        <v>0</v>
      </c>
      <c r="I190">
        <f t="shared" ca="1" si="57"/>
        <v>6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0.2656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2</v>
      </c>
      <c r="F191">
        <f t="shared" ca="1" si="54"/>
        <v>1</v>
      </c>
      <c r="G191">
        <f t="shared" ca="1" si="55"/>
        <v>0</v>
      </c>
      <c r="H191">
        <f t="shared" ca="1" si="56"/>
        <v>0</v>
      </c>
      <c r="I191">
        <f t="shared" ca="1" si="57"/>
        <v>6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0.2656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2</v>
      </c>
      <c r="F192">
        <f t="shared" ca="1" si="54"/>
        <v>1</v>
      </c>
      <c r="G192">
        <f t="shared" ca="1" si="55"/>
        <v>0</v>
      </c>
      <c r="H192">
        <f t="shared" ca="1" si="56"/>
        <v>0</v>
      </c>
      <c r="I192">
        <f t="shared" ca="1" si="57"/>
        <v>6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0.2656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2</v>
      </c>
      <c r="F193">
        <f t="shared" ca="1" si="54"/>
        <v>1</v>
      </c>
      <c r="G193">
        <f t="shared" ca="1" si="55"/>
        <v>0</v>
      </c>
      <c r="H193">
        <f t="shared" ca="1" si="56"/>
        <v>0</v>
      </c>
      <c r="I193">
        <f t="shared" ca="1" si="57"/>
        <v>6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0.2656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2</v>
      </c>
      <c r="F194">
        <f t="shared" ca="1" si="54"/>
        <v>1</v>
      </c>
      <c r="G194">
        <f t="shared" ca="1" si="55"/>
        <v>0</v>
      </c>
      <c r="H194">
        <f t="shared" ca="1" si="56"/>
        <v>0</v>
      </c>
      <c r="I194">
        <f t="shared" ca="1" si="57"/>
        <v>6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0.2656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2</v>
      </c>
      <c r="F195">
        <f t="shared" ca="1" si="54"/>
        <v>1</v>
      </c>
      <c r="G195">
        <f t="shared" ca="1" si="55"/>
        <v>0</v>
      </c>
      <c r="H195">
        <f t="shared" ca="1" si="56"/>
        <v>0</v>
      </c>
      <c r="I195">
        <f t="shared" ca="1" si="57"/>
        <v>6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0.2656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2</v>
      </c>
      <c r="F196">
        <f t="shared" ca="1" si="54"/>
        <v>1</v>
      </c>
      <c r="G196">
        <f t="shared" ca="1" si="55"/>
        <v>0</v>
      </c>
      <c r="H196">
        <f t="shared" ca="1" si="56"/>
        <v>0</v>
      </c>
      <c r="I196">
        <f t="shared" ca="1" si="57"/>
        <v>6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0.2656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2</v>
      </c>
      <c r="F197">
        <f t="shared" ca="1" si="54"/>
        <v>1</v>
      </c>
      <c r="G197">
        <f t="shared" ca="1" si="55"/>
        <v>0</v>
      </c>
      <c r="H197">
        <f t="shared" ca="1" si="56"/>
        <v>0</v>
      </c>
      <c r="I197">
        <f t="shared" ca="1" si="57"/>
        <v>6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0.2656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2</v>
      </c>
      <c r="F198">
        <f t="shared" ca="1" si="54"/>
        <v>1</v>
      </c>
      <c r="G198">
        <f t="shared" ca="1" si="55"/>
        <v>0</v>
      </c>
      <c r="H198">
        <f t="shared" ca="1" si="56"/>
        <v>0</v>
      </c>
      <c r="I198">
        <f t="shared" ca="1" si="57"/>
        <v>6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0.2656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2</v>
      </c>
      <c r="F199">
        <f t="shared" ca="1" si="54"/>
        <v>1</v>
      </c>
      <c r="G199">
        <f t="shared" ca="1" si="55"/>
        <v>0</v>
      </c>
      <c r="H199">
        <f t="shared" ca="1" si="56"/>
        <v>0</v>
      </c>
      <c r="I199">
        <f t="shared" ca="1" si="57"/>
        <v>6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0.2656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2</v>
      </c>
      <c r="F200">
        <f t="shared" ca="1" si="54"/>
        <v>1</v>
      </c>
      <c r="G200">
        <f t="shared" ca="1" si="55"/>
        <v>0</v>
      </c>
      <c r="H200">
        <f t="shared" ca="1" si="56"/>
        <v>0</v>
      </c>
      <c r="I200">
        <f t="shared" ca="1" si="57"/>
        <v>6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0.2656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2</v>
      </c>
      <c r="F201">
        <f t="shared" ca="1" si="54"/>
        <v>1</v>
      </c>
      <c r="G201">
        <f t="shared" ca="1" si="55"/>
        <v>0</v>
      </c>
      <c r="H201">
        <f t="shared" ca="1" si="56"/>
        <v>0</v>
      </c>
      <c r="I201">
        <f t="shared" ca="1" si="57"/>
        <v>6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0.2656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2</v>
      </c>
      <c r="F202">
        <f t="shared" ca="1" si="54"/>
        <v>1</v>
      </c>
      <c r="G202">
        <f t="shared" ca="1" si="55"/>
        <v>0</v>
      </c>
      <c r="H202">
        <f t="shared" ca="1" si="56"/>
        <v>0</v>
      </c>
      <c r="I202">
        <f t="shared" ca="1" si="57"/>
        <v>6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0.2656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2</v>
      </c>
      <c r="F203">
        <f t="shared" ca="1" si="54"/>
        <v>1</v>
      </c>
      <c r="G203">
        <f t="shared" ca="1" si="55"/>
        <v>0</v>
      </c>
      <c r="H203">
        <f t="shared" ca="1" si="56"/>
        <v>0</v>
      </c>
      <c r="I203">
        <f t="shared" ca="1" si="57"/>
        <v>6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0.2656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2</v>
      </c>
      <c r="F204">
        <f t="shared" ca="1" si="54"/>
        <v>1</v>
      </c>
      <c r="G204">
        <f t="shared" ca="1" si="55"/>
        <v>0</v>
      </c>
      <c r="H204">
        <f t="shared" ca="1" si="56"/>
        <v>0</v>
      </c>
      <c r="I204">
        <f t="shared" ca="1" si="57"/>
        <v>6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0.2656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2</v>
      </c>
      <c r="F205">
        <f t="shared" ca="1" si="54"/>
        <v>1</v>
      </c>
      <c r="G205">
        <f t="shared" ca="1" si="55"/>
        <v>0</v>
      </c>
      <c r="H205">
        <f t="shared" ca="1" si="56"/>
        <v>0</v>
      </c>
      <c r="I205">
        <f t="shared" ca="1" si="57"/>
        <v>6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0.2656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2</v>
      </c>
      <c r="F206">
        <f t="shared" ca="1" si="54"/>
        <v>1</v>
      </c>
      <c r="G206">
        <f t="shared" ca="1" si="55"/>
        <v>0</v>
      </c>
      <c r="H206">
        <f t="shared" ca="1" si="56"/>
        <v>0</v>
      </c>
      <c r="I206">
        <f t="shared" ca="1" si="57"/>
        <v>6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0.2656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2</v>
      </c>
      <c r="F207">
        <f t="shared" ca="1" si="54"/>
        <v>1</v>
      </c>
      <c r="G207">
        <f t="shared" ca="1" si="55"/>
        <v>0</v>
      </c>
      <c r="H207">
        <f t="shared" ca="1" si="56"/>
        <v>0</v>
      </c>
      <c r="I207">
        <f t="shared" ca="1" si="57"/>
        <v>6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0.2656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2</v>
      </c>
      <c r="F208">
        <f t="shared" ref="F208:F265" ca="1" si="79">IF($C208=1,0,IF($C208=2,OFFSET(F208,-1,0)+1,OFFSET(F208,-1,0)))</f>
        <v>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6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0.2656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2</v>
      </c>
      <c r="F209">
        <f t="shared" ca="1" si="79"/>
        <v>1</v>
      </c>
      <c r="G209">
        <f t="shared" ca="1" si="80"/>
        <v>0</v>
      </c>
      <c r="H209">
        <f t="shared" ca="1" si="81"/>
        <v>0</v>
      </c>
      <c r="I209">
        <f t="shared" ca="1" si="82"/>
        <v>6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0.2656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2</v>
      </c>
      <c r="F210">
        <f t="shared" ca="1" si="79"/>
        <v>1</v>
      </c>
      <c r="G210">
        <f t="shared" ca="1" si="80"/>
        <v>0</v>
      </c>
      <c r="H210">
        <f t="shared" ca="1" si="81"/>
        <v>0</v>
      </c>
      <c r="I210">
        <f t="shared" ca="1" si="82"/>
        <v>6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0.2656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2</v>
      </c>
      <c r="F211">
        <f t="shared" ca="1" si="79"/>
        <v>1</v>
      </c>
      <c r="G211">
        <f t="shared" ca="1" si="80"/>
        <v>0</v>
      </c>
      <c r="H211">
        <f t="shared" ca="1" si="81"/>
        <v>0</v>
      </c>
      <c r="I211">
        <f t="shared" ca="1" si="82"/>
        <v>6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0.2656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2</v>
      </c>
      <c r="F212">
        <f t="shared" ca="1" si="79"/>
        <v>1</v>
      </c>
      <c r="G212">
        <f t="shared" ca="1" si="80"/>
        <v>0</v>
      </c>
      <c r="H212">
        <f t="shared" ca="1" si="81"/>
        <v>0</v>
      </c>
      <c r="I212">
        <f t="shared" ca="1" si="82"/>
        <v>6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0.2656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2</v>
      </c>
      <c r="F213">
        <f t="shared" ca="1" si="79"/>
        <v>1</v>
      </c>
      <c r="G213">
        <f t="shared" ca="1" si="80"/>
        <v>0</v>
      </c>
      <c r="H213">
        <f t="shared" ca="1" si="81"/>
        <v>0</v>
      </c>
      <c r="I213">
        <f t="shared" ca="1" si="82"/>
        <v>6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0.2656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2</v>
      </c>
      <c r="F214">
        <f t="shared" ca="1" si="79"/>
        <v>1</v>
      </c>
      <c r="G214">
        <f t="shared" ca="1" si="80"/>
        <v>0</v>
      </c>
      <c r="H214">
        <f t="shared" ca="1" si="81"/>
        <v>0</v>
      </c>
      <c r="I214">
        <f t="shared" ca="1" si="82"/>
        <v>6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0.2656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2</v>
      </c>
      <c r="F215">
        <f t="shared" ca="1" si="79"/>
        <v>1</v>
      </c>
      <c r="G215">
        <f t="shared" ca="1" si="80"/>
        <v>0</v>
      </c>
      <c r="H215">
        <f t="shared" ca="1" si="81"/>
        <v>0</v>
      </c>
      <c r="I215">
        <f t="shared" ca="1" si="82"/>
        <v>6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0.2656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2</v>
      </c>
      <c r="F216">
        <f t="shared" ca="1" si="79"/>
        <v>1</v>
      </c>
      <c r="G216">
        <f t="shared" ca="1" si="80"/>
        <v>0</v>
      </c>
      <c r="H216">
        <f t="shared" ca="1" si="81"/>
        <v>0</v>
      </c>
      <c r="I216">
        <f t="shared" ca="1" si="82"/>
        <v>6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0.2656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2</v>
      </c>
      <c r="F217">
        <f t="shared" ca="1" si="79"/>
        <v>1</v>
      </c>
      <c r="G217">
        <f t="shared" ca="1" si="80"/>
        <v>0</v>
      </c>
      <c r="H217">
        <f t="shared" ca="1" si="81"/>
        <v>0</v>
      </c>
      <c r="I217">
        <f t="shared" ca="1" si="82"/>
        <v>6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0.2656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2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6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0.2656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2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6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0.2656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2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6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0.2656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2</v>
      </c>
      <c r="F221">
        <f t="shared" ca="1" si="79"/>
        <v>1</v>
      </c>
      <c r="G221">
        <f t="shared" ca="1" si="80"/>
        <v>0</v>
      </c>
      <c r="H221">
        <f t="shared" ca="1" si="81"/>
        <v>0</v>
      </c>
      <c r="I221">
        <f t="shared" ca="1" si="82"/>
        <v>6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0.2656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2</v>
      </c>
      <c r="F222">
        <f t="shared" ca="1" si="79"/>
        <v>1</v>
      </c>
      <c r="G222">
        <f t="shared" ca="1" si="80"/>
        <v>0</v>
      </c>
      <c r="H222">
        <f t="shared" ca="1" si="81"/>
        <v>0</v>
      </c>
      <c r="I222">
        <f t="shared" ca="1" si="82"/>
        <v>6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0.2656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2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6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0.2656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2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6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0.2656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2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6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0.2656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2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6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0.2656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2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6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0.2656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2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6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0.2656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2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6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0.2656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2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6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0.2656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2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6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0.2656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2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6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0.2656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2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6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0.2656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2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6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0.2656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2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6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0.2656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2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6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0.2656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2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6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0.2656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2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6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0.2656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2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6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0.2656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2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6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0.2656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2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6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0.2656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2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6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0.2656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2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6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0.2656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2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6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0.2656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2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6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0.2656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2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6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0.2656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2</v>
      </c>
      <c r="F247">
        <f t="shared" ca="1" si="79"/>
        <v>1</v>
      </c>
      <c r="G247">
        <f t="shared" ca="1" si="80"/>
        <v>0</v>
      </c>
      <c r="H247">
        <f t="shared" ca="1" si="81"/>
        <v>0</v>
      </c>
      <c r="I247">
        <f t="shared" ca="1" si="82"/>
        <v>6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0.2656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2</v>
      </c>
      <c r="F248">
        <f t="shared" ca="1" si="79"/>
        <v>1</v>
      </c>
      <c r="G248">
        <f t="shared" ca="1" si="80"/>
        <v>0</v>
      </c>
      <c r="H248">
        <f t="shared" ca="1" si="81"/>
        <v>0</v>
      </c>
      <c r="I248">
        <f t="shared" ca="1" si="82"/>
        <v>6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0.2656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2</v>
      </c>
      <c r="F249">
        <f t="shared" ca="1" si="79"/>
        <v>1</v>
      </c>
      <c r="G249">
        <f t="shared" ca="1" si="80"/>
        <v>0</v>
      </c>
      <c r="H249">
        <f t="shared" ca="1" si="81"/>
        <v>0</v>
      </c>
      <c r="I249">
        <f t="shared" ca="1" si="82"/>
        <v>6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0.2656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2</v>
      </c>
      <c r="F250">
        <f t="shared" ca="1" si="79"/>
        <v>1</v>
      </c>
      <c r="G250">
        <f t="shared" ca="1" si="80"/>
        <v>0</v>
      </c>
      <c r="H250">
        <f t="shared" ca="1" si="81"/>
        <v>0</v>
      </c>
      <c r="I250">
        <f t="shared" ca="1" si="82"/>
        <v>6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0.2656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2</v>
      </c>
      <c r="F251">
        <f t="shared" ca="1" si="79"/>
        <v>1</v>
      </c>
      <c r="G251">
        <f t="shared" ca="1" si="80"/>
        <v>0</v>
      </c>
      <c r="H251">
        <f t="shared" ca="1" si="81"/>
        <v>0</v>
      </c>
      <c r="I251">
        <f t="shared" ca="1" si="82"/>
        <v>6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0.2656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2</v>
      </c>
      <c r="F252">
        <f t="shared" ca="1" si="79"/>
        <v>1</v>
      </c>
      <c r="G252">
        <f t="shared" ca="1" si="80"/>
        <v>0</v>
      </c>
      <c r="H252">
        <f t="shared" ca="1" si="81"/>
        <v>0</v>
      </c>
      <c r="I252">
        <f t="shared" ca="1" si="82"/>
        <v>6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0.2656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2</v>
      </c>
      <c r="F253">
        <f t="shared" ca="1" si="79"/>
        <v>1</v>
      </c>
      <c r="G253">
        <f t="shared" ca="1" si="80"/>
        <v>0</v>
      </c>
      <c r="H253">
        <f t="shared" ca="1" si="81"/>
        <v>0</v>
      </c>
      <c r="I253">
        <f t="shared" ca="1" si="82"/>
        <v>6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0.2656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2</v>
      </c>
      <c r="F254">
        <f t="shared" ca="1" si="79"/>
        <v>1</v>
      </c>
      <c r="G254">
        <f t="shared" ca="1" si="80"/>
        <v>0</v>
      </c>
      <c r="H254">
        <f t="shared" ca="1" si="81"/>
        <v>0</v>
      </c>
      <c r="I254">
        <f t="shared" ca="1" si="82"/>
        <v>6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0.2656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2</v>
      </c>
      <c r="F255">
        <f t="shared" ca="1" si="79"/>
        <v>1</v>
      </c>
      <c r="G255">
        <f t="shared" ca="1" si="80"/>
        <v>0</v>
      </c>
      <c r="H255">
        <f t="shared" ca="1" si="81"/>
        <v>0</v>
      </c>
      <c r="I255">
        <f t="shared" ca="1" si="82"/>
        <v>6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0.2656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2</v>
      </c>
      <c r="F256">
        <f t="shared" ca="1" si="79"/>
        <v>1</v>
      </c>
      <c r="G256">
        <f t="shared" ca="1" si="80"/>
        <v>0</v>
      </c>
      <c r="H256">
        <f t="shared" ca="1" si="81"/>
        <v>0</v>
      </c>
      <c r="I256">
        <f t="shared" ca="1" si="82"/>
        <v>6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0.2656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2</v>
      </c>
      <c r="F257">
        <f t="shared" ca="1" si="79"/>
        <v>1</v>
      </c>
      <c r="G257">
        <f t="shared" ca="1" si="80"/>
        <v>0</v>
      </c>
      <c r="H257">
        <f t="shared" ca="1" si="81"/>
        <v>0</v>
      </c>
      <c r="I257">
        <f t="shared" ca="1" si="82"/>
        <v>6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0.2656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2</v>
      </c>
      <c r="F258">
        <f t="shared" ca="1" si="79"/>
        <v>1</v>
      </c>
      <c r="G258">
        <f t="shared" ca="1" si="80"/>
        <v>0</v>
      </c>
      <c r="H258">
        <f t="shared" ca="1" si="81"/>
        <v>0</v>
      </c>
      <c r="I258">
        <f t="shared" ca="1" si="82"/>
        <v>6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0.2656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2</v>
      </c>
      <c r="F259">
        <f t="shared" ca="1" si="79"/>
        <v>1</v>
      </c>
      <c r="G259">
        <f t="shared" ca="1" si="80"/>
        <v>0</v>
      </c>
      <c r="H259">
        <f t="shared" ca="1" si="81"/>
        <v>0</v>
      </c>
      <c r="I259">
        <f t="shared" ca="1" si="82"/>
        <v>6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0.2656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2</v>
      </c>
      <c r="F260">
        <f t="shared" ca="1" si="79"/>
        <v>1</v>
      </c>
      <c r="G260">
        <f t="shared" ca="1" si="80"/>
        <v>0</v>
      </c>
      <c r="H260">
        <f t="shared" ca="1" si="81"/>
        <v>0</v>
      </c>
      <c r="I260">
        <f t="shared" ca="1" si="82"/>
        <v>6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0.2656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2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6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0.2656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2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6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0.2656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2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6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0.2656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2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6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0.2656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2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6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0.2656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2" t="s">
        <v>248</v>
      </c>
      <c r="R269" s="702"/>
      <c r="S269" s="702"/>
      <c r="T269" s="702"/>
      <c r="U269" s="702"/>
      <c r="V269" s="702"/>
      <c r="W269" s="702"/>
      <c r="X269" s="702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3"/>
      <c r="P272" s="703"/>
      <c r="Q272" s="703"/>
      <c r="R272" s="703"/>
      <c r="S272" s="703"/>
      <c r="T272" s="703"/>
      <c r="U272" s="703"/>
      <c r="V272" s="703"/>
      <c r="W272" s="703"/>
      <c r="X272" s="703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3"/>
      <c r="P273" s="703"/>
      <c r="Q273" s="703"/>
      <c r="R273" s="703"/>
      <c r="S273" s="703"/>
      <c r="T273" s="703"/>
      <c r="U273" s="703"/>
      <c r="V273" s="703"/>
      <c r="W273" s="703"/>
      <c r="X273" s="703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3"/>
      <c r="P274" s="703"/>
      <c r="Q274" s="703"/>
      <c r="R274" s="703"/>
      <c r="S274" s="703"/>
      <c r="T274" s="703"/>
      <c r="U274" s="703"/>
      <c r="V274" s="703"/>
      <c r="W274" s="703"/>
      <c r="X274" s="703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4"/>
      <c r="Q276" s="704"/>
      <c r="R276" s="704"/>
      <c r="S276" s="704"/>
      <c r="T276" s="704"/>
      <c r="U276" s="704"/>
      <c r="V276" s="704"/>
      <c r="W276" s="704"/>
      <c r="X276" s="704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6" t="s">
        <v>249</v>
      </c>
      <c r="P277" s="706"/>
      <c r="Q277" s="706"/>
      <c r="R277" s="706"/>
      <c r="S277" s="706"/>
      <c r="T277" s="706"/>
      <c r="U277" s="706"/>
      <c r="V277" s="706"/>
      <c r="W277" s="706"/>
      <c r="X277" s="706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5" t="str">
        <f>Import.Município</f>
        <v>CÉU AZUL</v>
      </c>
      <c r="P279" s="705"/>
      <c r="Q279" s="705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GUSTAVO FRANCESCHINI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0">
        <f>DADOS!$F$25</f>
        <v>45012</v>
      </c>
      <c r="P282" s="700"/>
      <c r="Q282" s="700"/>
      <c r="R282" s="105"/>
      <c r="S282" s="95" t="s">
        <v>108</v>
      </c>
      <c r="T282" s="96" t="str">
        <v>126178/D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 t="str">
        <v>1720231313229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 filterMode="1"/>
  <dimension ref="A1:BG65536"/>
  <sheetViews>
    <sheetView showGridLines="0" zoomScale="90" zoomScaleNormal="90" zoomScaleSheetLayoutView="90" workbookViewId="0">
      <pane xSplit="8" ySplit="15" topLeftCell="I19" activePane="bottomRight" state="frozen"/>
      <selection activeCell="C1" sqref="C1"/>
      <selection pane="topRight" activeCell="I1" sqref="I1"/>
      <selection pane="bottomLeft" activeCell="C16" sqref="C16"/>
      <selection pane="bottomRight" activeCell="D13" sqref="D13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PLQ - PLANILHA DE LEVANTAMENTO DE QUANTIDADES</v>
      </c>
      <c r="G1" s="708"/>
      <c r="H1" s="708"/>
      <c r="I1" s="180"/>
      <c r="K1" s="180"/>
      <c r="L1" s="180"/>
      <c r="M1" s="181"/>
      <c r="N1" s="180"/>
      <c r="P1" s="180"/>
      <c r="Q1" s="687" t="s">
        <v>139</v>
      </c>
      <c r="R1" s="687"/>
      <c r="Y1" s="687" t="s">
        <v>139</v>
      </c>
      <c r="Z1" s="687"/>
    </row>
    <row r="2" spans="1:59" ht="15" customHeight="1" x14ac:dyDescent="0.2">
      <c r="F2" s="709" t="str">
        <f>IF(ACOMPANHAMENTO="BM","","Memória de Cálculo")&amp;" - "&amp;import.recurso</f>
        <v>Memória de Cálculo - (SELECIONAR)</v>
      </c>
      <c r="G2" s="709"/>
      <c r="H2" s="709"/>
      <c r="I2" s="182"/>
      <c r="K2" s="182"/>
      <c r="L2" s="182"/>
      <c r="M2" s="183"/>
      <c r="N2" s="182"/>
      <c r="P2" s="182"/>
      <c r="Q2" s="688" t="s">
        <v>142</v>
      </c>
      <c r="R2" s="688"/>
      <c r="Y2" s="688" t="s">
        <v>142</v>
      </c>
      <c r="Z2" s="688"/>
    </row>
    <row r="3" spans="1:59" ht="12.75" customHeight="1" x14ac:dyDescent="0.2"/>
    <row r="4" spans="1:59" ht="12.75" customHeight="1" x14ac:dyDescent="0.2">
      <c r="E4" s="683" t="s">
        <v>201</v>
      </c>
      <c r="F4" s="683"/>
      <c r="G4" s="683" t="s">
        <v>440</v>
      </c>
      <c r="H4" s="683"/>
      <c r="I4" s="112" t="s">
        <v>441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3" t="s">
        <v>145</v>
      </c>
      <c r="T4" s="683"/>
      <c r="U4" s="683" t="s">
        <v>146</v>
      </c>
      <c r="V4" s="683"/>
      <c r="W4" s="683"/>
      <c r="X4" s="683"/>
      <c r="Y4" s="683"/>
      <c r="Z4" s="683"/>
    </row>
    <row r="5" spans="1:59" ht="12.75" customHeight="1" x14ac:dyDescent="0.2">
      <c r="E5" s="686" t="str">
        <f>Import.Apelido</f>
        <v>EXECUÇÃO DE BASES PARA INSTALAÇÃO DE PARQUE ADAPTADO E ACADEMIA AO AR LIVRE</v>
      </c>
      <c r="F5" s="686"/>
      <c r="G5" s="686">
        <f>Import.SICONV</f>
        <v>0</v>
      </c>
      <c r="H5" s="686"/>
      <c r="I5" s="118">
        <f>Import.CR</f>
        <v>0</v>
      </c>
      <c r="K5" s="187" t="str">
        <f>Import.Proponente</f>
        <v>MUNICÍPIO DE CÉU AZUL</v>
      </c>
      <c r="L5" s="188"/>
      <c r="M5" s="130"/>
      <c r="N5" s="188"/>
      <c r="O5" s="188"/>
      <c r="P5" s="188"/>
      <c r="Q5" s="188"/>
      <c r="R5" s="119"/>
      <c r="S5" s="686">
        <f>Import.CR</f>
        <v>0</v>
      </c>
      <c r="T5" s="686"/>
      <c r="U5" s="686" t="str">
        <f>Import.Proponente</f>
        <v>MUNICÍPIO DE CÉU AZUL</v>
      </c>
      <c r="V5" s="686"/>
      <c r="W5" s="686"/>
      <c r="X5" s="686"/>
      <c r="Y5" s="686"/>
      <c r="Z5" s="686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 ca="1">IF(ACOMPANHAMENTO="BM",0,COUNTIF(M15:M266,0))</f>
        <v>0</v>
      </c>
      <c r="N12" s="191" t="s">
        <v>256</v>
      </c>
      <c r="O12" s="195"/>
      <c r="P12" s="192" t="s">
        <v>254</v>
      </c>
      <c r="Q12" s="592" t="s">
        <v>471</v>
      </c>
      <c r="R12" s="195" t="s">
        <v>455</v>
      </c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 t="str">
        <f ca="1">OFFSET($P$12,0,AB$13)</f>
        <v>BASE PARQUE ADAPTADO</v>
      </c>
      <c r="AC12" s="198" t="str">
        <f t="shared" ref="AC12:AK12" ca="1" si="0">OFFSET($P$12,0,AC$13)</f>
        <v>BASE ACADEMIA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 t="str">
        <f ca="1">OFFSET($P$12,0,AM$13)</f>
        <v>BASE PARQUE ADAPTADO</v>
      </c>
      <c r="AN12" s="198" t="str">
        <f t="shared" ref="AN12:AV12" ca="1" si="1">OFFSET($P$12,0,AN$13)</f>
        <v>BASE ACADEMIA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 t="str">
        <f ca="1">OFFSET($P$12,0,AX$13)</f>
        <v>BASE PARQUE ADAPTADO</v>
      </c>
      <c r="AY12" s="198" t="str">
        <f t="shared" ref="AY12:BG12" ca="1" si="2">OFFSET($P$12,0,AY$13)</f>
        <v>BASE ACADEMIA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7" t="str">
        <f>Import.DescLote</f>
        <v>BASE EM CONCRETO ARMADO</v>
      </c>
      <c r="F15" s="707"/>
      <c r="G15" s="707"/>
      <c r="H15" s="707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12491.86</v>
      </c>
      <c r="R15" s="221">
        <f t="shared" ca="1" si="5"/>
        <v>8471.19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12491.86</v>
      </c>
      <c r="AC15" s="224">
        <f ca="1">SUM(OFFSET(AC$15,1,0):AC$266)</f>
        <v>8471.19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38.2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EXECUÇÃO DE BASE EM CONCRETO ARMADO PARA INSTALAÇÃO DE PARQUE ADAPTADO NA PRAÇA DA MATRIZ (DIMENSÃO 10,50 M x 10,00 M E COM e=12 CM)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SERVIÇOS CONTRATADOS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PLACA DE OBRA EM CHAPA GALVANIZADA *N. 22*, ADESIVADA, DE *2,4 X 1,2* M INCLUSIVE ESTRUTURA DE FIXAÇÃO</v>
      </c>
      <c r="G18" s="208" t="str">
        <f ca="1">IF($D18&lt;&gt;"Serviço","",OFFSET(ORÇAMENTO!S$15,ROW(G18)-ROW(G$15),0))</f>
        <v xml:space="preserve">UN 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1</v>
      </c>
      <c r="I18" s="612" t="s">
        <v>461</v>
      </c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SERVIÇOS CONTRATADOS</v>
      </c>
      <c r="O18" s="213"/>
      <c r="Q18" s="213">
        <v>1</v>
      </c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621.76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25.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FABRICAÇÃO, MONTAGEM E DESMONTAGEM DE FÔRMA PARA DELIMITAÇÃO DO PISO DE CONCRETO, ESPESSURA DE 2,50 CM</v>
      </c>
      <c r="G19" s="208" t="str">
        <f ca="1">IF($D19&lt;&gt;"Serviço","",OFFSET(ORÇAMENTO!S$15,ROW(G19)-ROW(G$15),0))</f>
        <v xml:space="preserve">M2    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6.15</v>
      </c>
      <c r="I19" s="612" t="s">
        <v>453</v>
      </c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SERVIÇOS CONTRATADOS</v>
      </c>
      <c r="O19" s="213"/>
      <c r="Q19" s="213">
        <v>6.15</v>
      </c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1030.92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hidden="1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6" t="str">
        <f ca="1">OFFSET(ORÇAMENTO!N$15,ROW(D20)-ROW(D$15),0)</f>
        <v>Serviço</v>
      </c>
      <c r="E20" s="206" t="str">
        <f ca="1">OFFSET(ORÇAMENTO!O$15,ROW(E20)-ROW(E$15),0)</f>
        <v>-</v>
      </c>
      <c r="F20" s="207" t="str">
        <f ca="1">OFFSET(ORÇAMENTO!R$15,ROW(F20)-ROW(F$15),0)</f>
        <v>(Sem Código)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SERVIÇOS CONTRATADOS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38.2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6" t="str">
        <f ca="1">OFFSET(ORÇAMENTO!N$15,ROW(D21)-ROW(D$15),0)</f>
        <v>Serviço</v>
      </c>
      <c r="E21" s="206" t="str">
        <f ca="1">OFFSET(ORÇAMENTO!O$15,ROW(E21)-ROW(E$15),0)</f>
        <v>1.1.3.</v>
      </c>
      <c r="F21" s="207" t="str">
        <f ca="1">OFFSET(ORÇAMENTO!R$15,ROW(F21)-ROW(F$15),0)</f>
        <v>COMPACTAÇÃO MECÂNICA DE SOLO PARA EXECUÇÃO DE RADIER, PISO DE CONCRETO OU LAJE SOBRE SOLO, COM COMPACTADOR DE SOLOS A PERCUSSÃO. AF_09/2021</v>
      </c>
      <c r="G21" s="208" t="str">
        <f ca="1">IF($D21&lt;&gt;"Serviço","",OFFSET(ORÇAMENTO!S$15,ROW(G21)-ROW(G$15),0))</f>
        <v>M2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105</v>
      </c>
      <c r="I21" s="612" t="s">
        <v>452</v>
      </c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SERVIÇOS CONTRATADOS</v>
      </c>
      <c r="O21" s="213"/>
      <c r="Q21" s="213">
        <v>105</v>
      </c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466.2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38.25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>F</v>
      </c>
      <c r="D22" s="146" t="str">
        <f ca="1">OFFSET(ORÇAMENTO!N$15,ROW(D22)-ROW(D$15),0)</f>
        <v>Serviço</v>
      </c>
      <c r="E22" s="206" t="str">
        <f ca="1">OFFSET(ORÇAMENTO!O$15,ROW(E22)-ROW(E$15),0)</f>
        <v>1.1.4.</v>
      </c>
      <c r="F22" s="207" t="str">
        <f ca="1">OFFSET(ORÇAMENTO!R$15,ROW(F22)-ROW(F$15),0)</f>
        <v>LASTRO DE MATERIAL GRANULAR COMPACTADO (PEDRA BRITADA N.2) APLICADO EM PISOSS OU LAJES SOBRE O SOLO, ESPESSURA DE 3,00 CM</v>
      </c>
      <c r="G22" s="208" t="str">
        <f ca="1">IF($D22&lt;&gt;"Serviço","",OFFSET(ORÇAMENTO!S$15,ROW(G22)-ROW(G$15),0))</f>
        <v xml:space="preserve">M3    </v>
      </c>
      <c r="H22" s="152">
        <f ca="1">IF($D22&lt;&gt;"Serviço",0,IF(ACOMPANHAMENTO="BM",ROUND(OFFSET(ORÇAMENTO!AJ$15,ROW(H22)-ROW(H$15),0),15-13*ORÇAMENTO!$AF$7),SUMPRODUCT(($Q$12:$AA$12&lt;&gt;"")*ROUND($Q22:$AA22,15-13*ORÇAMENTO!$AF$7))))</f>
        <v>3.15</v>
      </c>
      <c r="I22" s="612" t="s">
        <v>454</v>
      </c>
      <c r="K22" s="209"/>
      <c r="L22" s="210" t="s">
        <v>254</v>
      </c>
      <c r="M22" s="211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12" t="str">
        <f ca="1">IF($D22&lt;&gt;"Serviço","",IF(AUTOEVENTO="Manual",IF($A22=0,"&lt;-- defina o número do agrupador",OFFSET(EVENTOS!$D$14,$A22,0)),OFFSET($F$15,$A22,0)))</f>
        <v>SERVIÇOS CONTRATADOS</v>
      </c>
      <c r="O22" s="213"/>
      <c r="Q22" s="213">
        <v>3.15</v>
      </c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428.18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1</v>
      </c>
      <c r="AN22" s="216">
        <f ca="1">IF($D22&lt;&gt;"Serviço",0,IF(AND(AUTOEVENTO="Manual",$M22=1),0,IF(OFFSET(CRONOPLE!$F$14,$M22,AN$13)="",10^12,OFFSET(CRONOPLE!$F$14,$M22,AN$13))))</f>
        <v>1000000000000</v>
      </c>
      <c r="AO22" s="216">
        <f ca="1">IF($D22&lt;&gt;"Serviço",0,IF(AND(AUTOEVENTO="Manual",$M22=1),0,IF(OFFSET(CRONOPLE!$F$14,$M22,AO$13)="",10^12,OFFSET(CRONOPLE!$F$14,$M22,AO$13))))</f>
        <v>1000000000000</v>
      </c>
      <c r="AP22" s="216">
        <f ca="1">IF($D22&lt;&gt;"Serviço",0,IF(AND(AUTOEVENTO="Manual",$M22=1),0,IF(OFFSET(CRONOPLE!$F$14,$M22,AP$13)="",10^12,OFFSET(CRONOPLE!$F$14,$M22,AP$13))))</f>
        <v>1000000000000</v>
      </c>
      <c r="AQ22" s="216">
        <f ca="1">IF($D22&lt;&gt;"Serviço",0,IF(AND(AUTOEVENTO="Manual",$M22=1),0,IF(OFFSET(CRONOPLE!$F$14,$M22,AQ$13)="",10^12,OFFSET(CRONOPLE!$F$14,$M22,AQ$13))))</f>
        <v>1000000000000</v>
      </c>
      <c r="AR22" s="216">
        <f ca="1">IF($D22&lt;&gt;"Serviço",0,IF(AND(AUTOEVENTO="Manual",$M22=1),0,IF(OFFSET(CRONOPLE!$F$14,$M22,AR$13)="",10^12,OFFSET(CRONOPLE!$F$14,$M22,AR$13))))</f>
        <v>1000000000000</v>
      </c>
      <c r="AS22" s="216">
        <f ca="1">IF($D22&lt;&gt;"Serviço",0,IF(AND(AUTOEVENTO="Manual",$M22=1),0,IF(OFFSET(CRONOPLE!$F$14,$M22,AS$13)="",10^12,OFFSET(CRONOPLE!$F$14,$M22,AS$13))))</f>
        <v>1000000000000</v>
      </c>
      <c r="AT22" s="216">
        <f ca="1">IF($D22&lt;&gt;"Serviço",0,IF(AND(AUTOEVENTO="Manual",$M22=1),0,IF(OFFSET(CRONOPLE!$F$14,$M22,AT$13)="",10^12,OFFSET(CRONOPLE!$F$14,$M22,AT$13))))</f>
        <v>1000000000000</v>
      </c>
      <c r="AU22" s="216">
        <f ca="1">IF($D22&lt;&gt;"Serviço",0,IF(AND(AUTOEVENTO="Manual",$M22=1),0,IF(OFFSET(CRONOPLE!$F$14,$M22,AU$13)="",10^12,OFFSET(CRONOPLE!$F$14,$M22,AU$13))))</f>
        <v>1000000000000</v>
      </c>
      <c r="AV22" s="216">
        <f ca="1">IF($D22&lt;&gt;"Serviço",0,IF(AND(AUTOEVENTO="Manual",$M22=1),0,IF(OFFSET(CRONOPLE!$F$14,$M22,AV$13)="",10^12,OFFSET(CRONOPLE!$F$14,$M22,AV$13))))</f>
        <v>1000000000000</v>
      </c>
      <c r="AX22" s="217">
        <f ca="1">IF($D22&lt;&gt;"Serviço",0,IF(OR(AND(AUTOEVENTO="Manual",$M22=1),$M22&gt;(ROW(PLE.lastrow)-ROW(PLE.firstrow))),0,IF(OFFSET(PLE!$G$14,$M22,AX$13)="",10^12,OFFSET(PLE!$G$14,$M22,AX$13))))</f>
        <v>1000000000000</v>
      </c>
      <c r="AY22" s="217">
        <f ca="1">IF($D22&lt;&gt;"Serviço",0,IF(OR(AND(AUTOEVENTO="Manual",$M22=1),$M22&gt;(ROW(PLE.lastrow)-ROW(PLE.firstrow))),0,IF(OFFSET(PLE!$G$14,$M22,AY$13)="",10^12,OFFSET(PLE!$G$14,$M22,AY$13))))</f>
        <v>1000000000000</v>
      </c>
      <c r="AZ22" s="217">
        <f ca="1">IF($D22&lt;&gt;"Serviço",0,IF(OR(AND(AUTOEVENTO="Manual",$M22=1),$M22&gt;(ROW(PLE.lastrow)-ROW(PLE.firstrow))),0,IF(OFFSET(PLE!$G$14,$M22,AZ$13)="",10^12,OFFSET(PLE!$G$14,$M22,AZ$13))))</f>
        <v>1000000000000</v>
      </c>
      <c r="BA22" s="217">
        <f ca="1">IF($D22&lt;&gt;"Serviço",0,IF(OR(AND(AUTOEVENTO="Manual",$M22=1),$M22&gt;(ROW(PLE.lastrow)-ROW(PLE.firstrow))),0,IF(OFFSET(PLE!$G$14,$M22,BA$13)="",10^12,OFFSET(PLE!$G$14,$M22,BA$13))))</f>
        <v>1000000000000</v>
      </c>
      <c r="BB22" s="217">
        <f ca="1">IF($D22&lt;&gt;"Serviço",0,IF(OR(AND(AUTOEVENTO="Manual",$M22=1),$M22&gt;(ROW(PLE.lastrow)-ROW(PLE.firstrow))),0,IF(OFFSET(PLE!$G$14,$M22,BB$13)="",10^12,OFFSET(PLE!$G$14,$M22,BB$13))))</f>
        <v>1000000000000</v>
      </c>
      <c r="BC22" s="217">
        <f ca="1">IF($D22&lt;&gt;"Serviço",0,IF(OR(AND(AUTOEVENTO="Manual",$M22=1),$M22&gt;(ROW(PLE.lastrow)-ROW(PLE.firstrow))),0,IF(OFFSET(PLE!$G$14,$M22,BC$13)="",10^12,OFFSET(PLE!$G$14,$M22,BC$13))))</f>
        <v>1000000000000</v>
      </c>
      <c r="BD22" s="217">
        <f ca="1">IF($D22&lt;&gt;"Serviço",0,IF(OR(AND(AUTOEVENTO="Manual",$M22=1),$M22&gt;(ROW(PLE.lastrow)-ROW(PLE.firstrow))),0,IF(OFFSET(PLE!$G$14,$M22,BD$13)="",10^12,OFFSET(PLE!$G$14,$M22,BD$13))))</f>
        <v>1000000000000</v>
      </c>
      <c r="BE22" s="217">
        <f ca="1">IF($D22&lt;&gt;"Serviço",0,IF(OR(AND(AUTOEVENTO="Manual",$M22=1),$M22&gt;(ROW(PLE.lastrow)-ROW(PLE.firstrow))),0,IF(OFFSET(PLE!$G$14,$M22,BE$13)="",10^12,OFFSET(PLE!$G$14,$M22,BE$13))))</f>
        <v>1000000000000</v>
      </c>
      <c r="BF22" s="217">
        <f ca="1">IF($D22&lt;&gt;"Serviço",0,IF(OR(AND(AUTOEVENTO="Manual",$M22=1),$M22&gt;(ROW(PLE.lastrow)-ROW(PLE.firstrow))),0,IF(OFFSET(PLE!$G$14,$M22,BF$13)="",10^12,OFFSET(PLE!$G$14,$M22,BF$13))))</f>
        <v>1000000000000</v>
      </c>
      <c r="BG22" s="217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38.25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6" t="str">
        <f ca="1">OFFSET(ORÇAMENTO!N$15,ROW(D23)-ROW(D$15),0)</f>
        <v>Serviço</v>
      </c>
      <c r="E23" s="206" t="str">
        <f ca="1">OFFSET(ORÇAMENTO!O$15,ROW(E23)-ROW(E$15),0)</f>
        <v>1.1.5.</v>
      </c>
      <c r="F23" s="207" t="str">
        <f ca="1">OFFSET(ORÇAMENTO!R$15,ROW(F23)-ROW(F$15),0)</f>
        <v>CONCRETAGEM DE PISO DE CONCRETO USINADO FCK 20 MPA - BOMBEAMENTO, LANÇAMENTO, ADENSAMENTO E ACABAMENTO - INCLUSIVE JUNTAS DE DILATAÇÃO E INSTALAÇÃO E FORNECIMENTO DE CHUMBADORES</v>
      </c>
      <c r="G23" s="208" t="str">
        <f ca="1">IF($D23&lt;&gt;"Serviço","",OFFSET(ORÇAMENTO!S$15,ROW(G23)-ROW(G$15),0))</f>
        <v xml:space="preserve">M3    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12.6</v>
      </c>
      <c r="I23" s="612" t="s">
        <v>451</v>
      </c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12" t="str">
        <f ca="1">IF($D23&lt;&gt;"Serviço","",IF(AUTOEVENTO="Manual",IF($A23=0,"&lt;-- defina o número do agrupador",OFFSET(EVENTOS!$D$14,$A23,0)),OFFSET($F$15,$A23,0)))</f>
        <v>SERVIÇOS CONTRATADOS</v>
      </c>
      <c r="O23" s="213"/>
      <c r="Q23" s="213">
        <v>12.6</v>
      </c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7768.15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</v>
      </c>
      <c r="AN23" s="216">
        <f ca="1">IF($D23&lt;&gt;"Serviço",0,IF(AND(AUTOEVENTO="Manual",$M23=1),0,IF(OFFSET(CRONOPLE!$F$14,$M23,AN$13)="",10^12,OFFSET(CRONOPLE!$F$14,$M23,AN$13))))</f>
        <v>1000000000000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38.25" x14ac:dyDescent="0.2">
      <c r="A24" s="9" t="str">
        <f t="shared" ca="1" si="8"/>
        <v>2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1.1.6.</v>
      </c>
      <c r="F24" s="207" t="str">
        <f ca="1">OFFSET(ORÇAMENTO!R$15,ROW(F24)-ROW(F$15),0)</f>
        <v>TELA DE ACO SOLDADA NERVURADA, CA-60, Q-92, (1,48 KG/M2), DIAMETRO DO FIO = 4,2 MM, LARGURA = 2,45 X 60 M DE COMPRIMENTO, ESPACAMENTO DA MALHA = 15  X 15 CM</v>
      </c>
      <c r="G24" s="208" t="str">
        <f ca="1">IF($D24&lt;&gt;"Serviço","",OFFSET(ORÇAMENTO!S$15,ROW(G24)-ROW(G$15),0))</f>
        <v xml:space="preserve">M2    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105</v>
      </c>
      <c r="I24" s="612" t="s">
        <v>452</v>
      </c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212" t="str">
        <f ca="1">IF($D24&lt;&gt;"Serviço","",IF(AUTOEVENTO="Manual",IF($A24=0,"&lt;-- defina o número do agrupador",OFFSET(EVENTOS!$D$14,$A24,0)),OFFSET($F$15,$A24,0)))</f>
        <v>SERVIÇOS CONTRATADOS</v>
      </c>
      <c r="O24" s="213"/>
      <c r="Q24" s="213">
        <v>105</v>
      </c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2176.65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hidden="1" x14ac:dyDescent="0.2">
      <c r="A25" s="9" t="str">
        <f t="shared" ca="1" si="8"/>
        <v>2</v>
      </c>
      <c r="B25" s="9" t="str">
        <f ca="1">OFFSET(ORÇAMENTO!C$15,ROW(B25)-ROW(B$15),0)</f>
        <v>S</v>
      </c>
      <c r="C25" s="9" t="str">
        <f ca="1">OFFSET(ORÇAMENTO!L$15,ROW(C25)-ROW(C$15),0)</f>
        <v/>
      </c>
      <c r="D25" s="146" t="str">
        <f ca="1">OFFSET(ORÇAMENTO!N$15,ROW(D25)-ROW(D$15),0)</f>
        <v>Serviço</v>
      </c>
      <c r="E25" s="206" t="str">
        <f ca="1">OFFSET(ORÇAMENTO!O$15,ROW(E25)-ROW(E$15),0)</f>
        <v>-</v>
      </c>
      <c r="F25" s="207" t="str">
        <f ca="1">OFFSET(ORÇAMENTO!R$15,ROW(F25)-ROW(F$15),0)</f>
        <v>(Sem Código)</v>
      </c>
      <c r="G25" s="208" t="str">
        <f ca="1">IF($D25&lt;&gt;"Serviço","",OFFSET(ORÇAMENTO!S$15,ROW(G25)-ROW(G$15),0))</f>
        <v>-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0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212" t="str">
        <f ca="1">IF($D25&lt;&gt;"Serviço","",IF(AUTOEVENTO="Manual",IF($A25=0,"&lt;-- defina o número do agrupador",OFFSET(EVENTOS!$D$14,$A25,0)),OFFSET($F$15,$A25,0)))</f>
        <v>SERVIÇOS CONTRATADOS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hidden="1" x14ac:dyDescent="0.2">
      <c r="A26" s="9" t="str">
        <f t="shared" ca="1" si="8"/>
        <v>2</v>
      </c>
      <c r="B26" s="9" t="str">
        <f ca="1">OFFSET(ORÇAMENTO!C$15,ROW(B26)-ROW(B$15),0)</f>
        <v>S</v>
      </c>
      <c r="C26" s="9" t="str">
        <f ca="1">OFFSET(ORÇAMENTO!L$15,ROW(C26)-ROW(C$15),0)</f>
        <v/>
      </c>
      <c r="D26" s="146" t="str">
        <f ca="1">OFFSET(ORÇAMENTO!N$15,ROW(D26)-ROW(D$15),0)</f>
        <v>Serviço</v>
      </c>
      <c r="E26" s="206" t="str">
        <f ca="1">OFFSET(ORÇAMENTO!O$15,ROW(E26)-ROW(E$15),0)</f>
        <v>-</v>
      </c>
      <c r="F26" s="207" t="str">
        <f ca="1">OFFSET(ORÇAMENTO!R$15,ROW(F26)-ROW(F$15),0)</f>
        <v>(Sem Código)</v>
      </c>
      <c r="G26" s="208" t="str">
        <f ca="1">IF($D26&lt;&gt;"Serviço","",OFFSET(ORÇAMENTO!S$15,ROW(G26)-ROW(G$15),0))</f>
        <v>-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0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2</v>
      </c>
      <c r="N26" s="212" t="str">
        <f ca="1">IF($D26&lt;&gt;"Serviço","",IF(AUTOEVENTO="Manual",IF($A26=0,"&lt;-- defina o número do agrupador",OFFSET(EVENTOS!$D$14,$A26,0)),OFFSET($F$15,$A26,0)))</f>
        <v>SERVIÇOS CONTRATADOS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hidden="1" x14ac:dyDescent="0.2">
      <c r="A27" s="9" t="str">
        <f t="shared" ca="1" si="8"/>
        <v>2</v>
      </c>
      <c r="B27" s="9" t="str">
        <f ca="1">OFFSET(ORÇAMENTO!C$15,ROW(B27)-ROW(B$15),0)</f>
        <v>S</v>
      </c>
      <c r="C27" s="9" t="str">
        <f ca="1">OFFSET(ORÇAMENTO!L$15,ROW(C27)-ROW(C$15),0)</f>
        <v/>
      </c>
      <c r="D27" s="146" t="str">
        <f ca="1">OFFSET(ORÇAMENTO!N$15,ROW(D27)-ROW(D$15),0)</f>
        <v>Serviço</v>
      </c>
      <c r="E27" s="206" t="str">
        <f ca="1">OFFSET(ORÇAMENTO!O$15,ROW(E27)-ROW(E$15),0)</f>
        <v>-</v>
      </c>
      <c r="F27" s="207" t="str">
        <f ca="1">OFFSET(ORÇAMENTO!R$15,ROW(F27)-ROW(F$15),0)</f>
        <v>(Sem Código)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0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2</v>
      </c>
      <c r="N27" s="212" t="str">
        <f ca="1">IF($D27&lt;&gt;"Serviço","",IF(AUTOEVENTO="Manual",IF($A27=0,"&lt;-- defina o número do agrupador",OFFSET(EVENTOS!$D$14,$A27,0)),OFFSET($F$15,$A27,0)))</f>
        <v>SERVIÇOS CONTRATADOS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38.25" x14ac:dyDescent="0.2">
      <c r="A28" s="9" t="str">
        <f t="shared" ca="1" si="8"/>
        <v>13.</v>
      </c>
      <c r="B28" s="9">
        <f ca="1">OFFSET(ORÇAMENTO!C$15,ROW(B28)-ROW(B$15),0)</f>
        <v>1</v>
      </c>
      <c r="C28" s="9" t="str">
        <f ca="1">OFFSET(ORÇAMENTO!L$15,ROW(C28)-ROW(C$15),0)</f>
        <v>F</v>
      </c>
      <c r="D28" s="146" t="str">
        <f ca="1">OFFSET(ORÇAMENTO!N$15,ROW(D28)-ROW(D$15),0)</f>
        <v>Meta</v>
      </c>
      <c r="E28" s="206" t="str">
        <f ca="1">OFFSET(ORÇAMENTO!O$15,ROW(E28)-ROW(E$15),0)</f>
        <v>2.</v>
      </c>
      <c r="F28" s="207" t="str">
        <f ca="1">OFFSET(ORÇAMENTO!R$15,ROW(F28)-ROW(F$15),0)</f>
        <v xml:space="preserve">EXECUÇÃO DE BASE EM CONCRETO ARMADO PARA INSTALAÇÃO DE ACADEMIA AO AR LIVRE NA VILA RURAL DE NOVA UNIÃO (DIMENSÃO 8,50 M x 8,00 M E COM e=12 CM)                                                                                </v>
      </c>
      <c r="G28" s="208" t="str">
        <f ca="1">IF($D28&lt;&gt;"Serviço","",OFFSET(ORÇAMENTO!S$15,ROW(G28)-ROW(G$15),0))</f>
        <v/>
      </c>
      <c r="H28" s="152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2"/>
      <c r="K28" s="209"/>
      <c r="L28" s="210" t="s">
        <v>254</v>
      </c>
      <c r="M28" s="211" t="str">
        <f ca="1">IF($D28&lt;&gt;"Serviço","",IF(AUTOEVENTO="manual",$A28,IF(ISERROR(MATCH($A28,$A$15:OFFSET($A28,-1,0),0)),MAX($M$15:OFFSET(M28,-1,0))+1,INDEX($M$15:OFFSET(M28,-1,0),MATCH($A28,$A$15:OFFSET($A28,-1,0),0)))))</f>
        <v/>
      </c>
      <c r="N28" s="212" t="str">
        <f ca="1">IF($D28&lt;&gt;"Serviço","",IF(AUTOEVENTO="Manual",IF($A28=0,"&lt;-- defina o número do agrupador",OFFSET(EVENTOS!$D$14,$A28,0)),OFFSET($F$15,$A28,0)))</f>
        <v/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0</v>
      </c>
      <c r="AN28" s="216">
        <f ca="1">IF($D28&lt;&gt;"Serviço",0,IF(AND(AUTOEVENTO="Manual",$M28=1),0,IF(OFFSET(CRONOPLE!$F$14,$M28,AN$13)="",10^12,OFFSET(CRONOPLE!$F$14,$M28,AN$13))))</f>
        <v>0</v>
      </c>
      <c r="AO28" s="216">
        <f ca="1">IF($D28&lt;&gt;"Serviço",0,IF(AND(AUTOEVENTO="Manual",$M28=1),0,IF(OFFSET(CRONOPLE!$F$14,$M28,AO$13)="",10^12,OFFSET(CRONOPLE!$F$14,$M28,AO$13))))</f>
        <v>0</v>
      </c>
      <c r="AP28" s="216">
        <f ca="1">IF($D28&lt;&gt;"Serviço",0,IF(AND(AUTOEVENTO="Manual",$M28=1),0,IF(OFFSET(CRONOPLE!$F$14,$M28,AP$13)="",10^12,OFFSET(CRONOPLE!$F$14,$M28,AP$13))))</f>
        <v>0</v>
      </c>
      <c r="AQ28" s="216">
        <f ca="1">IF($D28&lt;&gt;"Serviço",0,IF(AND(AUTOEVENTO="Manual",$M28=1),0,IF(OFFSET(CRONOPLE!$F$14,$M28,AQ$13)="",10^12,OFFSET(CRONOPLE!$F$14,$M28,AQ$13))))</f>
        <v>0</v>
      </c>
      <c r="AR28" s="216">
        <f ca="1">IF($D28&lt;&gt;"Serviço",0,IF(AND(AUTOEVENTO="Manual",$M28=1),0,IF(OFFSET(CRONOPLE!$F$14,$M28,AR$13)="",10^12,OFFSET(CRONOPLE!$F$14,$M28,AR$13))))</f>
        <v>0</v>
      </c>
      <c r="AS28" s="216">
        <f ca="1">IF($D28&lt;&gt;"Serviço",0,IF(AND(AUTOEVENTO="Manual",$M28=1),0,IF(OFFSET(CRONOPLE!$F$14,$M28,AS$13)="",10^12,OFFSET(CRONOPLE!$F$14,$M28,AS$13))))</f>
        <v>0</v>
      </c>
      <c r="AT28" s="216">
        <f ca="1">IF($D28&lt;&gt;"Serviço",0,IF(AND(AUTOEVENTO="Manual",$M28=1),0,IF(OFFSET(CRONOPLE!$F$14,$M28,AT$13)="",10^12,OFFSET(CRONOPLE!$F$14,$M28,AT$13))))</f>
        <v>0</v>
      </c>
      <c r="AU28" s="216">
        <f ca="1">IF($D28&lt;&gt;"Serviço",0,IF(AND(AUTOEVENTO="Manual",$M28=1),0,IF(OFFSET(CRONOPLE!$F$14,$M28,AU$13)="",10^12,OFFSET(CRONOPLE!$F$14,$M28,AU$13))))</f>
        <v>0</v>
      </c>
      <c r="AV28" s="216">
        <f ca="1">IF($D28&lt;&gt;"Serviço",0,IF(AND(AUTOEVENTO="Manual",$M28=1),0,IF(OFFSET(CRONOPLE!$F$14,$M28,AV$13)="",10^12,OFFSET(CRONOPLE!$F$14,$M28,AV$13))))</f>
        <v>0</v>
      </c>
      <c r="AX28" s="217">
        <f ca="1">IF($D28&lt;&gt;"Serviço",0,IF(OR(AND(AUTOEVENTO="Manual",$M28=1),$M28&gt;(ROW(PLE.lastrow)-ROW(PLE.firstrow))),0,IF(OFFSET(PLE!$G$14,$M28,AX$13)="",10^12,OFFSET(PLE!$G$14,$M28,AX$13))))</f>
        <v>0</v>
      </c>
      <c r="AY28" s="217">
        <f ca="1">IF($D28&lt;&gt;"Serviço",0,IF(OR(AND(AUTOEVENTO="Manual",$M28=1),$M28&gt;(ROW(PLE.lastrow)-ROW(PLE.firstrow))),0,IF(OFFSET(PLE!$G$14,$M28,AY$13)="",10^12,OFFSET(PLE!$G$14,$M28,AY$13))))</f>
        <v>0</v>
      </c>
      <c r="AZ28" s="217">
        <f ca="1">IF($D28&lt;&gt;"Serviço",0,IF(OR(AND(AUTOEVENTO="Manual",$M28=1),$M28&gt;(ROW(PLE.lastrow)-ROW(PLE.firstrow))),0,IF(OFFSET(PLE!$G$14,$M28,AZ$13)="",10^12,OFFSET(PLE!$G$14,$M28,AZ$13))))</f>
        <v>0</v>
      </c>
      <c r="BA28" s="217">
        <f ca="1">IF($D28&lt;&gt;"Serviço",0,IF(OR(AND(AUTOEVENTO="Manual",$M28=1),$M28&gt;(ROW(PLE.lastrow)-ROW(PLE.firstrow))),0,IF(OFFSET(PLE!$G$14,$M28,BA$13)="",10^12,OFFSET(PLE!$G$14,$M28,BA$13))))</f>
        <v>0</v>
      </c>
      <c r="BB28" s="217">
        <f ca="1">IF($D28&lt;&gt;"Serviço",0,IF(OR(AND(AUTOEVENTO="Manual",$M28=1),$M28&gt;(ROW(PLE.lastrow)-ROW(PLE.firstrow))),0,IF(OFFSET(PLE!$G$14,$M28,BB$13)="",10^12,OFFSET(PLE!$G$14,$M28,BB$13))))</f>
        <v>0</v>
      </c>
      <c r="BC28" s="217">
        <f ca="1">IF($D28&lt;&gt;"Serviço",0,IF(OR(AND(AUTOEVENTO="Manual",$M28=1),$M28&gt;(ROW(PLE.lastrow)-ROW(PLE.firstrow))),0,IF(OFFSET(PLE!$G$14,$M28,BC$13)="",10^12,OFFSET(PLE!$G$14,$M28,BC$13))))</f>
        <v>0</v>
      </c>
      <c r="BD28" s="217">
        <f ca="1">IF($D28&lt;&gt;"Serviço",0,IF(OR(AND(AUTOEVENTO="Manual",$M28=1),$M28&gt;(ROW(PLE.lastrow)-ROW(PLE.firstrow))),0,IF(OFFSET(PLE!$G$14,$M28,BD$13)="",10^12,OFFSET(PLE!$G$14,$M28,BD$13))))</f>
        <v>0</v>
      </c>
      <c r="BE28" s="217">
        <f ca="1">IF($D28&lt;&gt;"Serviço",0,IF(OR(AND(AUTOEVENTO="Manual",$M28=1),$M28&gt;(ROW(PLE.lastrow)-ROW(PLE.firstrow))),0,IF(OFFSET(PLE!$G$14,$M28,BE$13)="",10^12,OFFSET(PLE!$G$14,$M28,BE$13))))</f>
        <v>0</v>
      </c>
      <c r="BF28" s="217">
        <f ca="1">IF($D28&lt;&gt;"Serviço",0,IF(OR(AND(AUTOEVENTO="Manual",$M28=1),$M28&gt;(ROW(PLE.lastrow)-ROW(PLE.firstrow))),0,IF(OFFSET(PLE!$G$14,$M28,BF$13)="",10^12,OFFSET(PLE!$G$14,$M28,BF$13))))</f>
        <v>0</v>
      </c>
      <c r="BG28" s="217">
        <f ca="1">IF($D28&lt;&gt;"Serviço",0,IF(OR(AND(AUTOEVENTO="Manual",$M28=1),$M28&gt;(ROW(PLE.lastrow)-ROW(PLE.firstrow))),0,IF(OFFSET(PLE!$G$14,$M28,BG$13)="",10^12,OFFSET(PLE!$G$14,$M28,BG$13))))</f>
        <v>0</v>
      </c>
    </row>
    <row r="29" spans="1:59" ht="12.75" x14ac:dyDescent="0.2">
      <c r="A29" s="9" t="str">
        <f t="shared" ca="1" si="8"/>
        <v>14.</v>
      </c>
      <c r="B29" s="9">
        <f ca="1">OFFSET(ORÇAMENTO!C$15,ROW(B29)-ROW(B$15),0)</f>
        <v>2</v>
      </c>
      <c r="C29" s="9" t="str">
        <f ca="1">OFFSET(ORÇAMENTO!L$15,ROW(C29)-ROW(C$15),0)</f>
        <v>F</v>
      </c>
      <c r="D29" s="146" t="str">
        <f ca="1">OFFSET(ORÇAMENTO!N$15,ROW(D29)-ROW(D$15),0)</f>
        <v>Nível 2</v>
      </c>
      <c r="E29" s="206" t="str">
        <f ca="1">OFFSET(ORÇAMENTO!O$15,ROW(E29)-ROW(E$15),0)</f>
        <v>2.1.</v>
      </c>
      <c r="F29" s="207" t="str">
        <f ca="1">OFFSET(ORÇAMENTO!R$15,ROW(F29)-ROW(F$15),0)</f>
        <v>SERVIÇOS CONTRATADOS</v>
      </c>
      <c r="G29" s="208" t="str">
        <f ca="1">IF($D29&lt;&gt;"Serviço","",OFFSET(ORÇAMENTO!S$15,ROW(G29)-ROW(G$15),0))</f>
        <v/>
      </c>
      <c r="H29" s="152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2"/>
      <c r="K29" s="209"/>
      <c r="L29" s="210" t="s">
        <v>254</v>
      </c>
      <c r="M29" s="211" t="str">
        <f ca="1">IF($D29&lt;&gt;"Serviço","",IF(AUTOEVENTO="manual",$A29,IF(ISERROR(MATCH($A29,$A$15:OFFSET($A29,-1,0),0)),MAX($M$15:OFFSET(M29,-1,0))+1,INDEX($M$15:OFFSET(M29,-1,0),MATCH($A29,$A$15:OFFSET($A29,-1,0),0)))))</f>
        <v/>
      </c>
      <c r="N29" s="212" t="str">
        <f ca="1">IF($D29&lt;&gt;"Serviço","",IF(AUTOEVENTO="Manual",IF($A29=0,"&lt;-- defina o número do agrupador",OFFSET(EVENTOS!$D$14,$A29,0)),OFFSET($F$15,$A29,0)))</f>
        <v/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0</v>
      </c>
      <c r="AN29" s="216">
        <f ca="1">IF($D29&lt;&gt;"Serviço",0,IF(AND(AUTOEVENTO="Manual",$M29=1),0,IF(OFFSET(CRONOPLE!$F$14,$M29,AN$13)="",10^12,OFFSET(CRONOPLE!$F$14,$M29,AN$13))))</f>
        <v>0</v>
      </c>
      <c r="AO29" s="216">
        <f ca="1">IF($D29&lt;&gt;"Serviço",0,IF(AND(AUTOEVENTO="Manual",$M29=1),0,IF(OFFSET(CRONOPLE!$F$14,$M29,AO$13)="",10^12,OFFSET(CRONOPLE!$F$14,$M29,AO$13))))</f>
        <v>0</v>
      </c>
      <c r="AP29" s="216">
        <f ca="1">IF($D29&lt;&gt;"Serviço",0,IF(AND(AUTOEVENTO="Manual",$M29=1),0,IF(OFFSET(CRONOPLE!$F$14,$M29,AP$13)="",10^12,OFFSET(CRONOPLE!$F$14,$M29,AP$13))))</f>
        <v>0</v>
      </c>
      <c r="AQ29" s="216">
        <f ca="1">IF($D29&lt;&gt;"Serviço",0,IF(AND(AUTOEVENTO="Manual",$M29=1),0,IF(OFFSET(CRONOPLE!$F$14,$M29,AQ$13)="",10^12,OFFSET(CRONOPLE!$F$14,$M29,AQ$13))))</f>
        <v>0</v>
      </c>
      <c r="AR29" s="216">
        <f ca="1">IF($D29&lt;&gt;"Serviço",0,IF(AND(AUTOEVENTO="Manual",$M29=1),0,IF(OFFSET(CRONOPLE!$F$14,$M29,AR$13)="",10^12,OFFSET(CRONOPLE!$F$14,$M29,AR$13))))</f>
        <v>0</v>
      </c>
      <c r="AS29" s="216">
        <f ca="1">IF($D29&lt;&gt;"Serviço",0,IF(AND(AUTOEVENTO="Manual",$M29=1),0,IF(OFFSET(CRONOPLE!$F$14,$M29,AS$13)="",10^12,OFFSET(CRONOPLE!$F$14,$M29,AS$13))))</f>
        <v>0</v>
      </c>
      <c r="AT29" s="216">
        <f ca="1">IF($D29&lt;&gt;"Serviço",0,IF(AND(AUTOEVENTO="Manual",$M29=1),0,IF(OFFSET(CRONOPLE!$F$14,$M29,AT$13)="",10^12,OFFSET(CRONOPLE!$F$14,$M29,AT$13))))</f>
        <v>0</v>
      </c>
      <c r="AU29" s="216">
        <f ca="1">IF($D29&lt;&gt;"Serviço",0,IF(AND(AUTOEVENTO="Manual",$M29=1),0,IF(OFFSET(CRONOPLE!$F$14,$M29,AU$13)="",10^12,OFFSET(CRONOPLE!$F$14,$M29,AU$13))))</f>
        <v>0</v>
      </c>
      <c r="AV29" s="216">
        <f ca="1">IF($D29&lt;&gt;"Serviço",0,IF(AND(AUTOEVENTO="Manual",$M29=1),0,IF(OFFSET(CRONOPLE!$F$14,$M29,AV$13)="",10^12,OFFSET(CRONOPLE!$F$14,$M29,AV$13))))</f>
        <v>0</v>
      </c>
      <c r="AX29" s="217">
        <f ca="1">IF($D29&lt;&gt;"Serviço",0,IF(OR(AND(AUTOEVENTO="Manual",$M29=1),$M29&gt;(ROW(PLE.lastrow)-ROW(PLE.firstrow))),0,IF(OFFSET(PLE!$G$14,$M29,AX$13)="",10^12,OFFSET(PLE!$G$14,$M29,AX$13))))</f>
        <v>0</v>
      </c>
      <c r="AY29" s="217">
        <f ca="1">IF($D29&lt;&gt;"Serviço",0,IF(OR(AND(AUTOEVENTO="Manual",$M29=1),$M29&gt;(ROW(PLE.lastrow)-ROW(PLE.firstrow))),0,IF(OFFSET(PLE!$G$14,$M29,AY$13)="",10^12,OFFSET(PLE!$G$14,$M29,AY$13))))</f>
        <v>0</v>
      </c>
      <c r="AZ29" s="217">
        <f ca="1">IF($D29&lt;&gt;"Serviço",0,IF(OR(AND(AUTOEVENTO="Manual",$M29=1),$M29&gt;(ROW(PLE.lastrow)-ROW(PLE.firstrow))),0,IF(OFFSET(PLE!$G$14,$M29,AZ$13)="",10^12,OFFSET(PLE!$G$14,$M29,AZ$13))))</f>
        <v>0</v>
      </c>
      <c r="BA29" s="217">
        <f ca="1">IF($D29&lt;&gt;"Serviço",0,IF(OR(AND(AUTOEVENTO="Manual",$M29=1),$M29&gt;(ROW(PLE.lastrow)-ROW(PLE.firstrow))),0,IF(OFFSET(PLE!$G$14,$M29,BA$13)="",10^12,OFFSET(PLE!$G$14,$M29,BA$13))))</f>
        <v>0</v>
      </c>
      <c r="BB29" s="217">
        <f ca="1">IF($D29&lt;&gt;"Serviço",0,IF(OR(AND(AUTOEVENTO="Manual",$M29=1),$M29&gt;(ROW(PLE.lastrow)-ROW(PLE.firstrow))),0,IF(OFFSET(PLE!$G$14,$M29,BB$13)="",10^12,OFFSET(PLE!$G$14,$M29,BB$13))))</f>
        <v>0</v>
      </c>
      <c r="BC29" s="217">
        <f ca="1">IF($D29&lt;&gt;"Serviço",0,IF(OR(AND(AUTOEVENTO="Manual",$M29=1),$M29&gt;(ROW(PLE.lastrow)-ROW(PLE.firstrow))),0,IF(OFFSET(PLE!$G$14,$M29,BC$13)="",10^12,OFFSET(PLE!$G$14,$M29,BC$13))))</f>
        <v>0</v>
      </c>
      <c r="BD29" s="217">
        <f ca="1">IF($D29&lt;&gt;"Serviço",0,IF(OR(AND(AUTOEVENTO="Manual",$M29=1),$M29&gt;(ROW(PLE.lastrow)-ROW(PLE.firstrow))),0,IF(OFFSET(PLE!$G$14,$M29,BD$13)="",10^12,OFFSET(PLE!$G$14,$M29,BD$13))))</f>
        <v>0</v>
      </c>
      <c r="BE29" s="217">
        <f ca="1">IF($D29&lt;&gt;"Serviço",0,IF(OR(AND(AUTOEVENTO="Manual",$M29=1),$M29&gt;(ROW(PLE.lastrow)-ROW(PLE.firstrow))),0,IF(OFFSET(PLE!$G$14,$M29,BE$13)="",10^12,OFFSET(PLE!$G$14,$M29,BE$13))))</f>
        <v>0</v>
      </c>
      <c r="BF29" s="217">
        <f ca="1">IF($D29&lt;&gt;"Serviço",0,IF(OR(AND(AUTOEVENTO="Manual",$M29=1),$M29&gt;(ROW(PLE.lastrow)-ROW(PLE.firstrow))),0,IF(OFFSET(PLE!$G$14,$M29,BF$13)="",10^12,OFFSET(PLE!$G$14,$M29,BF$13))))</f>
        <v>0</v>
      </c>
      <c r="BG29" s="217">
        <f ca="1">IF($D29&lt;&gt;"Serviço",0,IF(OR(AND(AUTOEVENTO="Manual",$M29=1),$M29&gt;(ROW(PLE.lastrow)-ROW(PLE.firstrow))),0,IF(OFFSET(PLE!$G$14,$M29,BG$13)="",10^12,OFFSET(PLE!$G$14,$M29,BG$13))))</f>
        <v>0</v>
      </c>
    </row>
    <row r="30" spans="1:59" ht="25.5" x14ac:dyDescent="0.2">
      <c r="A30" s="9" t="str">
        <f t="shared" ca="1" si="8"/>
        <v>14</v>
      </c>
      <c r="B30" s="9" t="str">
        <f ca="1">OFFSET(ORÇAMENTO!C$15,ROW(B30)-ROW(B$15),0)</f>
        <v>S</v>
      </c>
      <c r="C30" s="9" t="str">
        <f ca="1">OFFSET(ORÇAMENTO!L$15,ROW(C30)-ROW(C$15),0)</f>
        <v>F</v>
      </c>
      <c r="D30" s="146" t="str">
        <f ca="1">OFFSET(ORÇAMENTO!N$15,ROW(D30)-ROW(D$15),0)</f>
        <v>Serviço</v>
      </c>
      <c r="E30" s="206" t="str">
        <f ca="1">OFFSET(ORÇAMENTO!O$15,ROW(E30)-ROW(E$15),0)</f>
        <v>2.1.1.</v>
      </c>
      <c r="F30" s="207" t="str">
        <f ca="1">OFFSET(ORÇAMENTO!R$15,ROW(F30)-ROW(F$15),0)</f>
        <v>PLACA DE OBRA EM CHAPA GALVANIZADA *N. 22*, ADESIVADA, DE *2,4 X 1,2* M INCLUSIVE ESTRUTURA DE FIXAÇÃO</v>
      </c>
      <c r="G30" s="208" t="str">
        <f ca="1">IF($D30&lt;&gt;"Serviço","",OFFSET(ORÇAMENTO!S$15,ROW(G30)-ROW(G$15),0))</f>
        <v xml:space="preserve">UN 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1</v>
      </c>
      <c r="I30" s="612" t="s">
        <v>461</v>
      </c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 t="str">
        <f ca="1">IF($D30&lt;&gt;"Serviço","",IF(AUTOEVENTO="Manual",IF($A30=0,"&lt;-- defina o número do agrupador",OFFSET(EVENTOS!$D$14,$A30,0)),OFFSET($F$15,$A30,0)))</f>
        <v>SERVIÇOS CONTRATADOS</v>
      </c>
      <c r="O30" s="213"/>
      <c r="Q30" s="213"/>
      <c r="R30" s="214">
        <v>1</v>
      </c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621.76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2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25.5" x14ac:dyDescent="0.2">
      <c r="A31" s="9" t="str">
        <f t="shared" ca="1" si="8"/>
        <v>14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6" t="str">
        <f ca="1">OFFSET(ORÇAMENTO!N$15,ROW(D31)-ROW(D$15),0)</f>
        <v>Serviço</v>
      </c>
      <c r="E31" s="206" t="str">
        <f ca="1">OFFSET(ORÇAMENTO!O$15,ROW(E31)-ROW(E$15),0)</f>
        <v>2.1.2.</v>
      </c>
      <c r="F31" s="207" t="str">
        <f ca="1">OFFSET(ORÇAMENTO!R$15,ROW(F31)-ROW(F$15),0)</f>
        <v>FABRICAÇÃO, MONTAGEM E DESMONTAGEM DE FÔRMA PARA DELIMITAÇÃO DO PISO DE CONCRETO, ESPESSURA DE 2,50 CM</v>
      </c>
      <c r="G31" s="208" t="str">
        <f ca="1">IF($D31&lt;&gt;"Serviço","",OFFSET(ORÇAMENTO!S$15,ROW(G31)-ROW(G$15),0))</f>
        <v xml:space="preserve">M2    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4.95</v>
      </c>
      <c r="I31" s="612" t="s">
        <v>456</v>
      </c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SERVIÇOS CONTRATADOS</v>
      </c>
      <c r="O31" s="213"/>
      <c r="Q31" s="213"/>
      <c r="R31" s="214">
        <v>4.95</v>
      </c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829.77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2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38.25" x14ac:dyDescent="0.2">
      <c r="A32" s="9" t="str">
        <f t="shared" ca="1" si="8"/>
        <v>14</v>
      </c>
      <c r="B32" s="9" t="str">
        <f ca="1">OFFSET(ORÇAMENTO!C$15,ROW(B32)-ROW(B$15),0)</f>
        <v>S</v>
      </c>
      <c r="C32" s="9" t="str">
        <f ca="1">OFFSET(ORÇAMENTO!L$15,ROW(C32)-ROW(C$15),0)</f>
        <v>F</v>
      </c>
      <c r="D32" s="146" t="str">
        <f ca="1">OFFSET(ORÇAMENTO!N$15,ROW(D32)-ROW(D$15),0)</f>
        <v>Serviço</v>
      </c>
      <c r="E32" s="206" t="str">
        <f ca="1">OFFSET(ORÇAMENTO!O$15,ROW(E32)-ROW(E$15),0)</f>
        <v>2.1.3.</v>
      </c>
      <c r="F32" s="207" t="str">
        <f ca="1">OFFSET(ORÇAMENTO!R$15,ROW(F32)-ROW(F$15),0)</f>
        <v>COMPACTAÇÃO MECÂNICA DE SOLO PARA EXECUÇÃO DE RADIER, PISO DE CONCRETO OU LAJE SOBRE SOLO, COM COMPACTADOR DE SOLOS A PERCUSSÃO. AF_09/2021</v>
      </c>
      <c r="G32" s="208" t="str">
        <f ca="1">IF($D32&lt;&gt;"Serviço","",OFFSET(ORÇAMENTO!S$15,ROW(G32)-ROW(G$15),0))</f>
        <v>M2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68</v>
      </c>
      <c r="I32" s="612" t="s">
        <v>459</v>
      </c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 t="str">
        <f ca="1">IF($D32&lt;&gt;"Serviço","",IF(AUTOEVENTO="Manual",IF($A32=0,"&lt;-- defina o número do agrupador",OFFSET(EVENTOS!$D$14,$A32,0)),OFFSET($F$15,$A32,0)))</f>
        <v>SERVIÇOS CONTRATADOS</v>
      </c>
      <c r="O32" s="213"/>
      <c r="Q32" s="213"/>
      <c r="R32" s="214">
        <v>68</v>
      </c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301.92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2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hidden="1" x14ac:dyDescent="0.2">
      <c r="A33" s="9" t="str">
        <f t="shared" ca="1" si="8"/>
        <v>14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(Sem Código)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 t="str">
        <f ca="1">IF($D33&lt;&gt;"Serviço","",IF(AUTOEVENTO="Manual",IF($A33=0,"&lt;-- defina o número do agrupador",OFFSET(EVENTOS!$D$14,$A33,0)),OFFSET($F$15,$A33,0)))</f>
        <v>SERVIÇOS CONTRATADOS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2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38.25" x14ac:dyDescent="0.2">
      <c r="A34" s="9" t="str">
        <f t="shared" ca="1" si="8"/>
        <v>14</v>
      </c>
      <c r="B34" s="9" t="str">
        <f ca="1">OFFSET(ORÇAMENTO!C$15,ROW(B34)-ROW(B$15),0)</f>
        <v>S</v>
      </c>
      <c r="C34" s="9" t="str">
        <f ca="1">OFFSET(ORÇAMENTO!L$15,ROW(C34)-ROW(C$15),0)</f>
        <v>F</v>
      </c>
      <c r="D34" s="146" t="str">
        <f ca="1">OFFSET(ORÇAMENTO!N$15,ROW(D34)-ROW(D$15),0)</f>
        <v>Serviço</v>
      </c>
      <c r="E34" s="206" t="str">
        <f ca="1">OFFSET(ORÇAMENTO!O$15,ROW(E34)-ROW(E$15),0)</f>
        <v>2.1.4.</v>
      </c>
      <c r="F34" s="207" t="str">
        <f ca="1">OFFSET(ORÇAMENTO!R$15,ROW(F34)-ROW(F$15),0)</f>
        <v>LASTRO DE MATERIAL GRANULAR COMPACTADO (PEDRA BRITADA N.2) APLICADO EM PISOSS OU LAJES SOBRE O SOLO, ESPESSURA DE 3,00 CM</v>
      </c>
      <c r="G34" s="208" t="str">
        <f ca="1">IF($D34&lt;&gt;"Serviço","",OFFSET(ORÇAMENTO!S$15,ROW(G34)-ROW(G$15),0))</f>
        <v xml:space="preserve">M3    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2.04</v>
      </c>
      <c r="I34" s="612" t="s">
        <v>457</v>
      </c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3</v>
      </c>
      <c r="N34" s="212" t="str">
        <f ca="1">IF($D34&lt;&gt;"Serviço","",IF(AUTOEVENTO="Manual",IF($A34=0,"&lt;-- defina o número do agrupador",OFFSET(EVENTOS!$D$14,$A34,0)),OFFSET($F$15,$A34,0)))</f>
        <v>SERVIÇOS CONTRATADOS</v>
      </c>
      <c r="O34" s="213"/>
      <c r="Q34" s="213"/>
      <c r="R34" s="214">
        <v>2.04</v>
      </c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277.3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2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38.25" x14ac:dyDescent="0.2">
      <c r="A35" s="9" t="str">
        <f t="shared" ca="1" si="8"/>
        <v>14</v>
      </c>
      <c r="B35" s="9" t="str">
        <f ca="1">OFFSET(ORÇAMENTO!C$15,ROW(B35)-ROW(B$15),0)</f>
        <v>S</v>
      </c>
      <c r="C35" s="9" t="str">
        <f ca="1">OFFSET(ORÇAMENTO!L$15,ROW(C35)-ROW(C$15),0)</f>
        <v>F</v>
      </c>
      <c r="D35" s="146" t="str">
        <f ca="1">OFFSET(ORÇAMENTO!N$15,ROW(D35)-ROW(D$15),0)</f>
        <v>Serviço</v>
      </c>
      <c r="E35" s="206" t="str">
        <f ca="1">OFFSET(ORÇAMENTO!O$15,ROW(E35)-ROW(E$15),0)</f>
        <v>2.1.5.</v>
      </c>
      <c r="F35" s="207" t="str">
        <f ca="1">OFFSET(ORÇAMENTO!R$15,ROW(F35)-ROW(F$15),0)</f>
        <v>CONCRETAGEM DE PISO DE CONCRETO USINADO FCK 20 MPA - BOMBEAMENTO, LANÇAMENTO, ADENSAMENTO E ACABAMENTO - INCLUSIVE JUNTAS DE DILATAÇÃO E INSTALAÇÃO E FORNECIMENTO DE CHUMBADORES</v>
      </c>
      <c r="G35" s="208" t="str">
        <f ca="1">IF($D35&lt;&gt;"Serviço","",OFFSET(ORÇAMENTO!S$15,ROW(G35)-ROW(G$15),0))</f>
        <v xml:space="preserve">M3    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8.16</v>
      </c>
      <c r="I35" s="612" t="s">
        <v>458</v>
      </c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3</v>
      </c>
      <c r="N35" s="212" t="str">
        <f ca="1">IF($D35&lt;&gt;"Serviço","",IF(AUTOEVENTO="Manual",IF($A35=0,"&lt;-- defina o número do agrupador",OFFSET(EVENTOS!$D$14,$A35,0)),OFFSET($F$15,$A35,0)))</f>
        <v>SERVIÇOS CONTRATADOS</v>
      </c>
      <c r="O35" s="213"/>
      <c r="Q35" s="213"/>
      <c r="R35" s="214">
        <v>8.16</v>
      </c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5030.8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2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38.25" x14ac:dyDescent="0.2">
      <c r="A36" s="9" t="str">
        <f t="shared" ca="1" si="8"/>
        <v>14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6" t="str">
        <f ca="1">OFFSET(ORÇAMENTO!N$15,ROW(D36)-ROW(D$15),0)</f>
        <v>Serviço</v>
      </c>
      <c r="E36" s="206" t="str">
        <f ca="1">OFFSET(ORÇAMENTO!O$15,ROW(E36)-ROW(E$15),0)</f>
        <v>2.1.6.</v>
      </c>
      <c r="F36" s="207" t="str">
        <f ca="1">OFFSET(ORÇAMENTO!R$15,ROW(F36)-ROW(F$15),0)</f>
        <v>TELA DE ACO SOLDADA NERVURADA, CA-60, Q-92, (1,48 KG/M2), DIAMETRO DO FIO = 4,2 MM, LARGURA = 2,45 X 60 M DE COMPRIMENTO, ESPACAMENTO DA MALHA = 15  X 15 CM</v>
      </c>
      <c r="G36" s="208" t="str">
        <f ca="1">IF($D36&lt;&gt;"Serviço","",OFFSET(ORÇAMENTO!S$15,ROW(G36)-ROW(G$15),0))</f>
        <v xml:space="preserve">M2    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68</v>
      </c>
      <c r="I36" s="612" t="s">
        <v>459</v>
      </c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3</v>
      </c>
      <c r="N36" s="212" t="str">
        <f ca="1">IF($D36&lt;&gt;"Serviço","",IF(AUTOEVENTO="Manual",IF($A36=0,"&lt;-- defina o número do agrupador",OFFSET(EVENTOS!$D$14,$A36,0)),OFFSET($F$15,$A36,0)))</f>
        <v>SERVIÇOS CONTRATADOS</v>
      </c>
      <c r="O36" s="213"/>
      <c r="Q36" s="213"/>
      <c r="R36" s="214">
        <v>68</v>
      </c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1409.64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2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hidden="1" x14ac:dyDescent="0.2">
      <c r="A37" s="9" t="str">
        <f t="shared" ca="1" si="8"/>
        <v>14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6" t="str">
        <f ca="1">OFFSET(ORÇAMENTO!N$15,ROW(D37)-ROW(D$15),0)</f>
        <v>Serviço</v>
      </c>
      <c r="E37" s="206" t="str">
        <f ca="1">OFFSET(ORÇAMENTO!O$15,ROW(E37)-ROW(E$15),0)</f>
        <v>-</v>
      </c>
      <c r="F37" s="207" t="str">
        <f ca="1">OFFSET(ORÇAMENTO!R$15,ROW(F37)-ROW(F$15),0)</f>
        <v>(Sem Código)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3</v>
      </c>
      <c r="N37" s="212" t="str">
        <f ca="1">IF($D37&lt;&gt;"Serviço","",IF(AUTOEVENTO="Manual",IF($A37=0,"&lt;-- defina o número do agrupador",OFFSET(EVENTOS!$D$14,$A37,0)),OFFSET($F$15,$A37,0)))</f>
        <v>SERVIÇOS CONTRATADOS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2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hidden="1" x14ac:dyDescent="0.2">
      <c r="A38" s="9" t="str">
        <f t="shared" ca="1" si="8"/>
        <v>14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6" t="str">
        <f ca="1">OFFSET(ORÇAMENTO!N$15,ROW(D38)-ROW(D$15),0)</f>
        <v>Serviço</v>
      </c>
      <c r="E38" s="206" t="str">
        <f ca="1">OFFSET(ORÇAMENTO!O$15,ROW(E38)-ROW(E$15),0)</f>
        <v>-</v>
      </c>
      <c r="F38" s="207" t="str">
        <f ca="1">OFFSET(ORÇAMENTO!R$15,ROW(F38)-ROW(F$15),0)</f>
        <v>(Sem Código)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3</v>
      </c>
      <c r="N38" s="212" t="str">
        <f ca="1">IF($D38&lt;&gt;"Serviço","",IF(AUTOEVENTO="Manual",IF($A38=0,"&lt;-- defina o número do agrupador",OFFSET(EVENTOS!$D$14,$A38,0)),OFFSET($F$15,$A38,0)))</f>
        <v>SERVIÇOS CONTRATADOS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2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hidden="1" x14ac:dyDescent="0.2">
      <c r="A39" s="9" t="str">
        <f t="shared" ca="1" si="8"/>
        <v>14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6" t="str">
        <f ca="1">OFFSET(ORÇAMENTO!N$15,ROW(D39)-ROW(D$15),0)</f>
        <v>Serviço</v>
      </c>
      <c r="E39" s="206" t="str">
        <f ca="1">OFFSET(ORÇAMENTO!O$15,ROW(E39)-ROW(E$15),0)</f>
        <v>-</v>
      </c>
      <c r="F39" s="207" t="str">
        <f ca="1">OFFSET(ORÇAMENTO!R$15,ROW(F39)-ROW(F$15),0)</f>
        <v>(Sem Código)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3</v>
      </c>
      <c r="N39" s="212" t="str">
        <f ca="1">IF($D39&lt;&gt;"Serviço","",IF(AUTOEVENTO="Manual",IF($A39=0,"&lt;-- defina o número do agrupador",OFFSET(EVENTOS!$D$14,$A39,0)),OFFSET($F$15,$A39,0)))</f>
        <v>SERVIÇOS CONTRATADOS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2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hidden="1" x14ac:dyDescent="0.2">
      <c r="A40" s="9" t="str">
        <f t="shared" ca="1" si="8"/>
        <v>14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(Sem Código)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3</v>
      </c>
      <c r="N40" s="212" t="str">
        <f ca="1">IF($D40&lt;&gt;"Serviço","",IF(AUTOEVENTO="Manual",IF($A40=0,"&lt;-- defina o número do agrupador",OFFSET(EVENTOS!$D$14,$A40,0)),OFFSET($F$15,$A40,0)))</f>
        <v>SERVIÇOS CONTRATADOS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2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hidden="1" x14ac:dyDescent="0.2">
      <c r="A41" s="9" t="str">
        <f t="shared" ca="1" si="8"/>
        <v>14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(Sem Código)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3</v>
      </c>
      <c r="N41" s="212" t="str">
        <f ca="1">IF($D41&lt;&gt;"Serviço","",IF(AUTOEVENTO="Manual",IF($A41=0,"&lt;-- defina o número do agrupador",OFFSET(EVENTOS!$D$14,$A41,0)),OFFSET($F$15,$A41,0)))</f>
        <v>SERVIÇOS CONTRATADOS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2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hidden="1" x14ac:dyDescent="0.2">
      <c r="A42" s="9" t="str">
        <f t="shared" ca="1" si="8"/>
        <v>14</v>
      </c>
      <c r="B42" s="9" t="str">
        <f ca="1">OFFSET(ORÇAMENTO!C$15,ROW(B42)-ROW(B$15),0)</f>
        <v>S</v>
      </c>
      <c r="C42" s="9" t="str">
        <f ca="1">OFFSET(ORÇAMENTO!L$15,ROW(C42)-ROW(C$15),0)</f>
        <v/>
      </c>
      <c r="D42" s="146" t="str">
        <f ca="1">OFFSET(ORÇAMENTO!N$15,ROW(D42)-ROW(D$15),0)</f>
        <v>Serviço</v>
      </c>
      <c r="E42" s="206" t="str">
        <f ca="1">OFFSET(ORÇAMENTO!O$15,ROW(E42)-ROW(E$15),0)</f>
        <v>-</v>
      </c>
      <c r="F42" s="207" t="str">
        <f ca="1">OFFSET(ORÇAMENTO!R$15,ROW(F42)-ROW(F$15),0)</f>
        <v>(Sem Código)</v>
      </c>
      <c r="G42" s="208" t="str">
        <f ca="1">IF($D42&lt;&gt;"Serviço","",OFFSET(ORÇAMENTO!S$15,ROW(G42)-ROW(G$15),0))</f>
        <v>-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3</v>
      </c>
      <c r="N42" s="212" t="str">
        <f ca="1">IF($D42&lt;&gt;"Serviço","",IF(AUTOEVENTO="Manual",IF($A42=0,"&lt;-- defina o número do agrupador",OFFSET(EVENTOS!$D$14,$A42,0)),OFFSET($F$15,$A42,0)))</f>
        <v>SERVIÇOS CONTRATADOS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2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hidden="1" x14ac:dyDescent="0.2">
      <c r="A43" s="9" t="str">
        <f t="shared" ca="1" si="8"/>
        <v>14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6" t="str">
        <f ca="1">OFFSET(ORÇAMENTO!N$15,ROW(D43)-ROW(D$15),0)</f>
        <v>Serviço</v>
      </c>
      <c r="E43" s="206" t="str">
        <f ca="1">OFFSET(ORÇAMENTO!O$15,ROW(E43)-ROW(E$15),0)</f>
        <v>-</v>
      </c>
      <c r="F43" s="207" t="str">
        <f ca="1">OFFSET(ORÇAMENTO!R$15,ROW(F43)-ROW(F$15),0)</f>
        <v>(Sem Código)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3</v>
      </c>
      <c r="N43" s="212" t="str">
        <f ca="1">IF($D43&lt;&gt;"Serviço","",IF(AUTOEVENTO="Manual",IF($A43=0,"&lt;-- defina o número do agrupador",OFFSET(EVENTOS!$D$14,$A43,0)),OFFSET($F$15,$A43,0)))</f>
        <v>SERVIÇOS CONTRATADOS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2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hidden="1" x14ac:dyDescent="0.2">
      <c r="A44" s="9" t="str">
        <f t="shared" ca="1" si="8"/>
        <v>14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(Sem Código)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3</v>
      </c>
      <c r="N44" s="212" t="str">
        <f ca="1">IF($D44&lt;&gt;"Serviço","",IF(AUTOEVENTO="Manual",IF($A44=0,"&lt;-- defina o número do agrupador",OFFSET(EVENTOS!$D$14,$A44,0)),OFFSET($F$15,$A44,0)))</f>
        <v>SERVIÇOS CONTRATADOS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2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hidden="1" x14ac:dyDescent="0.2">
      <c r="A45" s="9" t="str">
        <f t="shared" ca="1" si="8"/>
        <v>14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6" t="str">
        <f ca="1">OFFSET(ORÇAMENTO!N$15,ROW(D45)-ROW(D$15),0)</f>
        <v>Serviço</v>
      </c>
      <c r="E45" s="206" t="str">
        <f ca="1">OFFSET(ORÇAMENTO!O$15,ROW(E45)-ROW(E$15),0)</f>
        <v>-</v>
      </c>
      <c r="F45" s="207" t="str">
        <f ca="1">OFFSET(ORÇAMENTO!R$15,ROW(F45)-ROW(F$15),0)</f>
        <v>(Sem Código)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3</v>
      </c>
      <c r="N45" s="212" t="str">
        <f ca="1">IF($D45&lt;&gt;"Serviço","",IF(AUTOEVENTO="Manual",IF($A45=0,"&lt;-- defina o número do agrupador",OFFSET(EVENTOS!$D$14,$A45,0)),OFFSET($F$15,$A45,0)))</f>
        <v>SERVIÇOS CONTRATADOS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2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hidden="1" x14ac:dyDescent="0.2">
      <c r="A46" s="9" t="str">
        <f t="shared" ca="1" si="8"/>
        <v>14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(Sem Código)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3</v>
      </c>
      <c r="N46" s="212" t="str">
        <f ca="1">IF($D46&lt;&gt;"Serviço","",IF(AUTOEVENTO="Manual",IF($A46=0,"&lt;-- defina o número do agrupador",OFFSET(EVENTOS!$D$14,$A46,0)),OFFSET($F$15,$A46,0)))</f>
        <v>SERVIÇOS CONTRATADOS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2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hidden="1" x14ac:dyDescent="0.2">
      <c r="A47" s="9" t="str">
        <f t="shared" ca="1" si="8"/>
        <v>14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(Sem Código)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3</v>
      </c>
      <c r="N47" s="212" t="str">
        <f ca="1">IF($D47&lt;&gt;"Serviço","",IF(AUTOEVENTO="Manual",IF($A47=0,"&lt;-- defina o número do agrupador",OFFSET(EVENTOS!$D$14,$A47,0)),OFFSET($F$15,$A47,0)))</f>
        <v>SERVIÇOS CONTRATADOS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2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hidden="1" x14ac:dyDescent="0.2">
      <c r="A48" s="9" t="str">
        <f t="shared" ca="1" si="8"/>
        <v>14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(Sem Código)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3</v>
      </c>
      <c r="N48" s="212" t="str">
        <f ca="1">IF($D48&lt;&gt;"Serviço","",IF(AUTOEVENTO="Manual",IF($A48=0,"&lt;-- defina o número do agrupador",OFFSET(EVENTOS!$D$14,$A48,0)),OFFSET($F$15,$A48,0)))</f>
        <v>SERVIÇOS CONTRATADOS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2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hidden="1" x14ac:dyDescent="0.2">
      <c r="A49" s="9" t="str">
        <f t="shared" ca="1" si="8"/>
        <v>14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6" t="str">
        <f ca="1">OFFSET(ORÇAMENTO!N$15,ROW(D49)-ROW(D$15),0)</f>
        <v>Serviço</v>
      </c>
      <c r="E49" s="206" t="str">
        <f ca="1">OFFSET(ORÇAMENTO!O$15,ROW(E49)-ROW(E$15),0)</f>
        <v>-</v>
      </c>
      <c r="F49" s="207" t="str">
        <f ca="1">OFFSET(ORÇAMENTO!R$15,ROW(F49)-ROW(F$15),0)</f>
        <v>(Sem Código)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3</v>
      </c>
      <c r="N49" s="212" t="str">
        <f ca="1">IF($D49&lt;&gt;"Serviço","",IF(AUTOEVENTO="Manual",IF($A49=0,"&lt;-- defina o número do agrupador",OFFSET(EVENTOS!$D$14,$A49,0)),OFFSET($F$15,$A49,0)))</f>
        <v>SERVIÇOS CONTRATADOS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2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hidden="1" x14ac:dyDescent="0.2">
      <c r="A50" s="9" t="str">
        <f t="shared" ca="1" si="8"/>
        <v>14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6" t="str">
        <f ca="1">OFFSET(ORÇAMENTO!N$15,ROW(D50)-ROW(D$15),0)</f>
        <v>Serviço</v>
      </c>
      <c r="E50" s="206" t="str">
        <f ca="1">OFFSET(ORÇAMENTO!O$15,ROW(E50)-ROW(E$15),0)</f>
        <v>-</v>
      </c>
      <c r="F50" s="207" t="str">
        <f ca="1">OFFSET(ORÇAMENTO!R$15,ROW(F50)-ROW(F$15),0)</f>
        <v>(Sem Código)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3</v>
      </c>
      <c r="N50" s="212" t="str">
        <f ca="1">IF($D50&lt;&gt;"Serviço","",IF(AUTOEVENTO="Manual",IF($A50=0,"&lt;-- defina o número do agrupador",OFFSET(EVENTOS!$D$14,$A50,0)),OFFSET($F$15,$A50,0)))</f>
        <v>SERVIÇOS CONTRATADOS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2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hidden="1" x14ac:dyDescent="0.2">
      <c r="A51" s="9" t="str">
        <f t="shared" ca="1" si="8"/>
        <v>14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(Sem Código)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3</v>
      </c>
      <c r="N51" s="212" t="str">
        <f ca="1">IF($D51&lt;&gt;"Serviço","",IF(AUTOEVENTO="Manual",IF($A51=0,"&lt;-- defina o número do agrupador",OFFSET(EVENTOS!$D$14,$A51,0)),OFFSET($F$15,$A51,0)))</f>
        <v>SERVIÇOS CONTRATADOS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2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hidden="1" x14ac:dyDescent="0.2">
      <c r="A52" s="9" t="str">
        <f t="shared" ca="1" si="8"/>
        <v>14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(Sem Código)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3</v>
      </c>
      <c r="N52" s="212" t="str">
        <f ca="1">IF($D52&lt;&gt;"Serviço","",IF(AUTOEVENTO="Manual",IF($A52=0,"&lt;-- defina o número do agrupador",OFFSET(EVENTOS!$D$14,$A52,0)),OFFSET($F$15,$A52,0)))</f>
        <v>SERVIÇOS CONTRATADOS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2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hidden="1" x14ac:dyDescent="0.2">
      <c r="A53" s="9" t="str">
        <f t="shared" ca="1" si="8"/>
        <v>14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(Sem Código)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3</v>
      </c>
      <c r="N53" s="212" t="str">
        <f ca="1">IF($D53&lt;&gt;"Serviço","",IF(AUTOEVENTO="Manual",IF($A53=0,"&lt;-- defina o número do agrupador",OFFSET(EVENTOS!$D$14,$A53,0)),OFFSET($F$15,$A53,0)))</f>
        <v>SERVIÇOS CONTRATADOS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2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hidden="1" x14ac:dyDescent="0.2">
      <c r="A54" s="9" t="str">
        <f t="shared" ca="1" si="8"/>
        <v>14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3</v>
      </c>
      <c r="N54" s="212" t="str">
        <f ca="1">IF($D54&lt;&gt;"Serviço","",IF(AUTOEVENTO="Manual",IF($A54=0,"&lt;-- defina o número do agrupador",OFFSET(EVENTOS!$D$14,$A54,0)),OFFSET($F$15,$A54,0)))</f>
        <v>SERVIÇOS CONTRATADOS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2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hidden="1" x14ac:dyDescent="0.2">
      <c r="A55" s="9" t="str">
        <f t="shared" ca="1" si="8"/>
        <v>14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(Sem Código)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3</v>
      </c>
      <c r="N55" s="212" t="str">
        <f ca="1">IF($D55&lt;&gt;"Serviço","",IF(AUTOEVENTO="Manual",IF($A55=0,"&lt;-- defina o número do agrupador",OFFSET(EVENTOS!$D$14,$A55,0)),OFFSET($F$15,$A55,0)))</f>
        <v>SERVIÇOS CONTRATADOS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2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hidden="1" x14ac:dyDescent="0.2">
      <c r="A56" s="9" t="str">
        <f t="shared" ca="1" si="8"/>
        <v>14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(Sem Código)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3</v>
      </c>
      <c r="N56" s="212" t="str">
        <f ca="1">IF($D56&lt;&gt;"Serviço","",IF(AUTOEVENTO="Manual",IF($A56=0,"&lt;-- defina o número do agrupador",OFFSET(EVENTOS!$D$14,$A56,0)),OFFSET($F$15,$A56,0)))</f>
        <v>SERVIÇOS CONTRATADOS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2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hidden="1" x14ac:dyDescent="0.2">
      <c r="A57" s="9" t="str">
        <f t="shared" ca="1" si="8"/>
        <v>14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3</v>
      </c>
      <c r="N57" s="212" t="str">
        <f ca="1">IF($D57&lt;&gt;"Serviço","",IF(AUTOEVENTO="Manual",IF($A57=0,"&lt;-- defina o número do agrupador",OFFSET(EVENTOS!$D$14,$A57,0)),OFFSET($F$15,$A57,0)))</f>
        <v>SERVIÇOS CONTRATADOS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2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hidden="1" x14ac:dyDescent="0.2">
      <c r="A58" s="9" t="str">
        <f t="shared" ca="1" si="8"/>
        <v>14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(Sem Código)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3</v>
      </c>
      <c r="N58" s="212" t="str">
        <f ca="1">IF($D58&lt;&gt;"Serviço","",IF(AUTOEVENTO="Manual",IF($A58=0,"&lt;-- defina o número do agrupador",OFFSET(EVENTOS!$D$14,$A58,0)),OFFSET($F$15,$A58,0)))</f>
        <v>SERVIÇOS CONTRATADOS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2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hidden="1" x14ac:dyDescent="0.2">
      <c r="A59" s="9" t="str">
        <f t="shared" ca="1" si="8"/>
        <v>14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(Sem Código)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3</v>
      </c>
      <c r="N59" s="212" t="str">
        <f ca="1">IF($D59&lt;&gt;"Serviço","",IF(AUTOEVENTO="Manual",IF($A59=0,"&lt;-- defina o número do agrupador",OFFSET(EVENTOS!$D$14,$A59,0)),OFFSET($F$15,$A59,0)))</f>
        <v>SERVIÇOS CONTRATADOS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2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hidden="1" x14ac:dyDescent="0.2">
      <c r="A60" s="9" t="str">
        <f t="shared" ca="1" si="8"/>
        <v>14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3</v>
      </c>
      <c r="N60" s="212" t="str">
        <f ca="1">IF($D60&lt;&gt;"Serviço","",IF(AUTOEVENTO="Manual",IF($A60=0,"&lt;-- defina o número do agrupador",OFFSET(EVENTOS!$D$14,$A60,0)),OFFSET($F$15,$A60,0)))</f>
        <v>SERVIÇOS CONTRATADOS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2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hidden="1" x14ac:dyDescent="0.2">
      <c r="A61" s="9" t="str">
        <f t="shared" ca="1" si="8"/>
        <v>14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(Sem Código)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3</v>
      </c>
      <c r="N61" s="212" t="str">
        <f ca="1">IF($D61&lt;&gt;"Serviço","",IF(AUTOEVENTO="Manual",IF($A61=0,"&lt;-- defina o número do agrupador",OFFSET(EVENTOS!$D$14,$A61,0)),OFFSET($F$15,$A61,0)))</f>
        <v>SERVIÇOS CONTRATADOS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2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hidden="1" x14ac:dyDescent="0.2">
      <c r="A62" s="9" t="str">
        <f t="shared" ca="1" si="8"/>
        <v>14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(Sem Código)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3</v>
      </c>
      <c r="N62" s="212" t="str">
        <f ca="1">IF($D62&lt;&gt;"Serviço","",IF(AUTOEVENTO="Manual",IF($A62=0,"&lt;-- defina o número do agrupador",OFFSET(EVENTOS!$D$14,$A62,0)),OFFSET($F$15,$A62,0)))</f>
        <v>SERVIÇOS CONTRATADOS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2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hidden="1" x14ac:dyDescent="0.2">
      <c r="A63" s="9" t="str">
        <f t="shared" ca="1" si="8"/>
        <v>14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(Sem Código)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3</v>
      </c>
      <c r="N63" s="212" t="str">
        <f ca="1">IF($D63&lt;&gt;"Serviço","",IF(AUTOEVENTO="Manual",IF($A63=0,"&lt;-- defina o número do agrupador",OFFSET(EVENTOS!$D$14,$A63,0)),OFFSET($F$15,$A63,0)))</f>
        <v>SERVIÇOS CONTRATADOS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2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hidden="1" x14ac:dyDescent="0.2">
      <c r="A64" s="9" t="str">
        <f t="shared" ca="1" si="8"/>
        <v>14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(Sem Código)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3</v>
      </c>
      <c r="N64" s="212" t="str">
        <f ca="1">IF($D64&lt;&gt;"Serviço","",IF(AUTOEVENTO="Manual",IF($A64=0,"&lt;-- defina o número do agrupador",OFFSET(EVENTOS!$D$14,$A64,0)),OFFSET($F$15,$A64,0)))</f>
        <v>SERVIÇOS CONTRATADOS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2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hidden="1" x14ac:dyDescent="0.2">
      <c r="A65" s="9" t="str">
        <f t="shared" ca="1" si="8"/>
        <v>14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3</v>
      </c>
      <c r="N65" s="212" t="str">
        <f ca="1">IF($D65&lt;&gt;"Serviço","",IF(AUTOEVENTO="Manual",IF($A65=0,"&lt;-- defina o número do agrupador",OFFSET(EVENTOS!$D$14,$A65,0)),OFFSET($F$15,$A65,0)))</f>
        <v>SERVIÇOS CONTRATADOS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2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hidden="1" x14ac:dyDescent="0.2">
      <c r="A66" s="9" t="str">
        <f t="shared" ca="1" si="8"/>
        <v>14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(Sem Código)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3</v>
      </c>
      <c r="N66" s="212" t="str">
        <f ca="1">IF($D66&lt;&gt;"Serviço","",IF(AUTOEVENTO="Manual",IF($A66=0,"&lt;-- defina o número do agrupador",OFFSET(EVENTOS!$D$14,$A66,0)),OFFSET($F$15,$A66,0)))</f>
        <v>SERVIÇOS CONTRATADOS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2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hidden="1" x14ac:dyDescent="0.2">
      <c r="A67" s="9" t="str">
        <f t="shared" ca="1" si="8"/>
        <v>14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(Sem Código)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3</v>
      </c>
      <c r="N67" s="212" t="str">
        <f ca="1">IF($D67&lt;&gt;"Serviço","",IF(AUTOEVENTO="Manual",IF($A67=0,"&lt;-- defina o número do agrupador",OFFSET(EVENTOS!$D$14,$A67,0)),OFFSET($F$15,$A67,0)))</f>
        <v>SERVIÇOS CONTRATADOS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2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hidden="1" x14ac:dyDescent="0.2">
      <c r="A68" s="9" t="str">
        <f t="shared" ca="1" si="8"/>
        <v>14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(Sem Código)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3</v>
      </c>
      <c r="N68" s="212" t="str">
        <f ca="1">IF($D68&lt;&gt;"Serviço","",IF(AUTOEVENTO="Manual",IF($A68=0,"&lt;-- defina o número do agrupador",OFFSET(EVENTOS!$D$14,$A68,0)),OFFSET($F$15,$A68,0)))</f>
        <v>SERVIÇOS CONTRATADOS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2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hidden="1" x14ac:dyDescent="0.2">
      <c r="A69" s="9" t="str">
        <f t="shared" ca="1" si="8"/>
        <v>14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(Sem Código)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3</v>
      </c>
      <c r="N69" s="212" t="str">
        <f ca="1">IF($D69&lt;&gt;"Serviço","",IF(AUTOEVENTO="Manual",IF($A69=0,"&lt;-- defina o número do agrupador",OFFSET(EVENTOS!$D$14,$A69,0)),OFFSET($F$15,$A69,0)))</f>
        <v>SERVIÇOS CONTRATADOS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2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hidden="1" x14ac:dyDescent="0.2">
      <c r="A70" s="9" t="str">
        <f t="shared" ca="1" si="8"/>
        <v>14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3</v>
      </c>
      <c r="N70" s="212" t="str">
        <f ca="1">IF($D70&lt;&gt;"Serviço","",IF(AUTOEVENTO="Manual",IF($A70=0,"&lt;-- defina o número do agrupador",OFFSET(EVENTOS!$D$14,$A70,0)),OFFSET($F$15,$A70,0)))</f>
        <v>SERVIÇOS CONTRATADOS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2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hidden="1" x14ac:dyDescent="0.2">
      <c r="A71" s="9" t="str">
        <f t="shared" ca="1" si="8"/>
        <v>14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3</v>
      </c>
      <c r="N71" s="212" t="str">
        <f ca="1">IF($D71&lt;&gt;"Serviço","",IF(AUTOEVENTO="Manual",IF($A71=0,"&lt;-- defina o número do agrupador",OFFSET(EVENTOS!$D$14,$A71,0)),OFFSET($F$15,$A71,0)))</f>
        <v>SERVIÇOS CONTRATADOS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2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hidden="1" x14ac:dyDescent="0.2">
      <c r="A72" s="9" t="str">
        <f t="shared" ca="1" si="8"/>
        <v>14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3</v>
      </c>
      <c r="N72" s="212" t="str">
        <f ca="1">IF($D72&lt;&gt;"Serviço","",IF(AUTOEVENTO="Manual",IF($A72=0,"&lt;-- defina o número do agrupador",OFFSET(EVENTOS!$D$14,$A72,0)),OFFSET($F$15,$A72,0)))</f>
        <v>SERVIÇOS CONTRATADOS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2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hidden="1" x14ac:dyDescent="0.2">
      <c r="A73" s="9" t="str">
        <f t="shared" ca="1" si="8"/>
        <v>14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3</v>
      </c>
      <c r="N73" s="212" t="str">
        <f ca="1">IF($D73&lt;&gt;"Serviço","",IF(AUTOEVENTO="Manual",IF($A73=0,"&lt;-- defina o número do agrupador",OFFSET(EVENTOS!$D$14,$A73,0)),OFFSET($F$15,$A73,0)))</f>
        <v>SERVIÇOS CONTRATADOS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2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hidden="1" x14ac:dyDescent="0.2">
      <c r="A74" s="9" t="str">
        <f t="shared" ca="1" si="8"/>
        <v>14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(Sem Código)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3</v>
      </c>
      <c r="N74" s="212" t="str">
        <f ca="1">IF($D74&lt;&gt;"Serviço","",IF(AUTOEVENTO="Manual",IF($A74=0,"&lt;-- defina o número do agrupador",OFFSET(EVENTOS!$D$14,$A74,0)),OFFSET($F$15,$A74,0)))</f>
        <v>SERVIÇOS CONTRATADOS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2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hidden="1" x14ac:dyDescent="0.2">
      <c r="A75" s="9" t="str">
        <f t="shared" ca="1" si="8"/>
        <v>14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(Sem Código)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3</v>
      </c>
      <c r="N75" s="212" t="str">
        <f ca="1">IF($D75&lt;&gt;"Serviço","",IF(AUTOEVENTO="Manual",IF($A75=0,"&lt;-- defina o número do agrupador",OFFSET(EVENTOS!$D$14,$A75,0)),OFFSET($F$15,$A75,0)))</f>
        <v>SERVIÇOS CONTRATADOS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2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hidden="1" x14ac:dyDescent="0.2">
      <c r="A76" s="9" t="str">
        <f t="shared" ca="1" si="8"/>
        <v>14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(Sem Código)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3</v>
      </c>
      <c r="N76" s="212" t="str">
        <f ca="1">IF($D76&lt;&gt;"Serviço","",IF(AUTOEVENTO="Manual",IF($A76=0,"&lt;-- defina o número do agrupador",OFFSET(EVENTOS!$D$14,$A76,0)),OFFSET($F$15,$A76,0)))</f>
        <v>SERVIÇOS CONTRATADOS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2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hidden="1" x14ac:dyDescent="0.2">
      <c r="A77" s="9" t="str">
        <f t="shared" ca="1" si="8"/>
        <v>14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(Sem Código)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3</v>
      </c>
      <c r="N77" s="212" t="str">
        <f ca="1">IF($D77&lt;&gt;"Serviço","",IF(AUTOEVENTO="Manual",IF($A77=0,"&lt;-- defina o número do agrupador",OFFSET(EVENTOS!$D$14,$A77,0)),OFFSET($F$15,$A77,0)))</f>
        <v>SERVIÇOS CONTRATADOS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2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hidden="1" x14ac:dyDescent="0.2">
      <c r="A78" s="9" t="str">
        <f t="shared" ca="1" si="8"/>
        <v>14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(Sem Código)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3</v>
      </c>
      <c r="N78" s="212" t="str">
        <f ca="1">IF($D78&lt;&gt;"Serviço","",IF(AUTOEVENTO="Manual",IF($A78=0,"&lt;-- defina o número do agrupador",OFFSET(EVENTOS!$D$14,$A78,0)),OFFSET($F$15,$A78,0)))</f>
        <v>SERVIÇOS CONTRATADOS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2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hidden="1" x14ac:dyDescent="0.2">
      <c r="A79" s="9" t="str">
        <f t="shared" ca="1" si="8"/>
        <v>14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(Sem Código)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3</v>
      </c>
      <c r="N79" s="212" t="str">
        <f ca="1">IF($D79&lt;&gt;"Serviço","",IF(AUTOEVENTO="Manual",IF($A79=0,"&lt;-- defina o número do agrupador",OFFSET(EVENTOS!$D$14,$A79,0)),OFFSET($F$15,$A79,0)))</f>
        <v>SERVIÇOS CONTRATADOS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2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hidden="1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14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(Sem Código)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3</v>
      </c>
      <c r="N80" s="212" t="str">
        <f ca="1">IF($D80&lt;&gt;"Serviço","",IF(AUTOEVENTO="Manual",IF($A80=0,"&lt;-- defina o número do agrupador",OFFSET(EVENTOS!$D$14,$A80,0)),OFFSET($F$15,$A80,0)))</f>
        <v>SERVIÇOS CONTRATADOS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2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hidden="1" x14ac:dyDescent="0.2">
      <c r="A81" s="9" t="str">
        <f t="shared" ca="1" si="9"/>
        <v>14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3</v>
      </c>
      <c r="N81" s="212" t="str">
        <f ca="1">IF($D81&lt;&gt;"Serviço","",IF(AUTOEVENTO="Manual",IF($A81=0,"&lt;-- defina o número do agrupador",OFFSET(EVENTOS!$D$14,$A81,0)),OFFSET($F$15,$A81,0)))</f>
        <v>SERVIÇOS CONTRATADOS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2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hidden="1" x14ac:dyDescent="0.2">
      <c r="A82" s="9" t="str">
        <f t="shared" ca="1" si="9"/>
        <v>14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(Sem Código)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3</v>
      </c>
      <c r="N82" s="212" t="str">
        <f ca="1">IF($D82&lt;&gt;"Serviço","",IF(AUTOEVENTO="Manual",IF($A82=0,"&lt;-- defina o número do agrupador",OFFSET(EVENTOS!$D$14,$A82,0)),OFFSET($F$15,$A82,0)))</f>
        <v>SERVIÇOS CONTRATADOS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2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hidden="1" x14ac:dyDescent="0.2">
      <c r="A83" s="9" t="str">
        <f t="shared" ca="1" si="9"/>
        <v>14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3</v>
      </c>
      <c r="N83" s="212" t="str">
        <f ca="1">IF($D83&lt;&gt;"Serviço","",IF(AUTOEVENTO="Manual",IF($A83=0,"&lt;-- defina o número do agrupador",OFFSET(EVENTOS!$D$14,$A83,0)),OFFSET($F$15,$A83,0)))</f>
        <v>SERVIÇOS CONTRATADOS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2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hidden="1" x14ac:dyDescent="0.2">
      <c r="A84" s="9" t="str">
        <f t="shared" ca="1" si="9"/>
        <v>14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3</v>
      </c>
      <c r="N84" s="212" t="str">
        <f ca="1">IF($D84&lt;&gt;"Serviço","",IF(AUTOEVENTO="Manual",IF($A84=0,"&lt;-- defina o número do agrupador",OFFSET(EVENTOS!$D$14,$A84,0)),OFFSET($F$15,$A84,0)))</f>
        <v>SERVIÇOS CONTRATADOS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2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hidden="1" x14ac:dyDescent="0.2">
      <c r="A85" s="9" t="str">
        <f t="shared" ca="1" si="9"/>
        <v>14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3</v>
      </c>
      <c r="N85" s="212" t="str">
        <f ca="1">IF($D85&lt;&gt;"Serviço","",IF(AUTOEVENTO="Manual",IF($A85=0,"&lt;-- defina o número do agrupador",OFFSET(EVENTOS!$D$14,$A85,0)),OFFSET($F$15,$A85,0)))</f>
        <v>SERVIÇOS CONTRATADOS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2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hidden="1" x14ac:dyDescent="0.2">
      <c r="A86" s="9" t="str">
        <f t="shared" ca="1" si="9"/>
        <v>14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3</v>
      </c>
      <c r="N86" s="212" t="str">
        <f ca="1">IF($D86&lt;&gt;"Serviço","",IF(AUTOEVENTO="Manual",IF($A86=0,"&lt;-- defina o número do agrupador",OFFSET(EVENTOS!$D$14,$A86,0)),OFFSET($F$15,$A86,0)))</f>
        <v>SERVIÇOS CONTRATADOS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2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hidden="1" x14ac:dyDescent="0.2">
      <c r="A87" s="9" t="str">
        <f t="shared" ca="1" si="9"/>
        <v>14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3</v>
      </c>
      <c r="N87" s="212" t="str">
        <f ca="1">IF($D87&lt;&gt;"Serviço","",IF(AUTOEVENTO="Manual",IF($A87=0,"&lt;-- defina o número do agrupador",OFFSET(EVENTOS!$D$14,$A87,0)),OFFSET($F$15,$A87,0)))</f>
        <v>SERVIÇOS CONTRATADOS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2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hidden="1" x14ac:dyDescent="0.2">
      <c r="A88" s="9" t="str">
        <f t="shared" ca="1" si="9"/>
        <v>14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3</v>
      </c>
      <c r="N88" s="212" t="str">
        <f ca="1">IF($D88&lt;&gt;"Serviço","",IF(AUTOEVENTO="Manual",IF($A88=0,"&lt;-- defina o número do agrupador",OFFSET(EVENTOS!$D$14,$A88,0)),OFFSET($F$15,$A88,0)))</f>
        <v>SERVIÇOS CONTRATADOS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2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hidden="1" x14ac:dyDescent="0.2">
      <c r="A89" s="9" t="str">
        <f t="shared" ca="1" si="9"/>
        <v>14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3</v>
      </c>
      <c r="N89" s="212" t="str">
        <f ca="1">IF($D89&lt;&gt;"Serviço","",IF(AUTOEVENTO="Manual",IF($A89=0,"&lt;-- defina o número do agrupador",OFFSET(EVENTOS!$D$14,$A89,0)),OFFSET($F$15,$A89,0)))</f>
        <v>SERVIÇOS CONTRATADOS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2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hidden="1" x14ac:dyDescent="0.2">
      <c r="A90" s="9" t="str">
        <f t="shared" ca="1" si="9"/>
        <v>14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3</v>
      </c>
      <c r="N90" s="212" t="str">
        <f ca="1">IF($D90&lt;&gt;"Serviço","",IF(AUTOEVENTO="Manual",IF($A90=0,"&lt;-- defina o número do agrupador",OFFSET(EVENTOS!$D$14,$A90,0)),OFFSET($F$15,$A90,0)))</f>
        <v>SERVIÇOS CONTRATADOS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2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hidden="1" x14ac:dyDescent="0.2">
      <c r="A91" s="9" t="str">
        <f t="shared" ca="1" si="9"/>
        <v>14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3</v>
      </c>
      <c r="N91" s="212" t="str">
        <f ca="1">IF($D91&lt;&gt;"Serviço","",IF(AUTOEVENTO="Manual",IF($A91=0,"&lt;-- defina o número do agrupador",OFFSET(EVENTOS!$D$14,$A91,0)),OFFSET($F$15,$A91,0)))</f>
        <v>SERVIÇOS CONTRATADOS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2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hidden="1" x14ac:dyDescent="0.2">
      <c r="A92" s="9" t="str">
        <f t="shared" ca="1" si="9"/>
        <v>14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3</v>
      </c>
      <c r="N92" s="212" t="str">
        <f ca="1">IF($D92&lt;&gt;"Serviço","",IF(AUTOEVENTO="Manual",IF($A92=0,"&lt;-- defina o número do agrupador",OFFSET(EVENTOS!$D$14,$A92,0)),OFFSET($F$15,$A92,0)))</f>
        <v>SERVIÇOS CONTRATADOS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2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hidden="1" x14ac:dyDescent="0.2">
      <c r="A93" s="9" t="str">
        <f t="shared" ca="1" si="9"/>
        <v>14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3</v>
      </c>
      <c r="N93" s="212" t="str">
        <f ca="1">IF($D93&lt;&gt;"Serviço","",IF(AUTOEVENTO="Manual",IF($A93=0,"&lt;-- defina o número do agrupador",OFFSET(EVENTOS!$D$14,$A93,0)),OFFSET($F$15,$A93,0)))</f>
        <v>SERVIÇOS CONTRATADOS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2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hidden="1" x14ac:dyDescent="0.2">
      <c r="A94" s="9" t="str">
        <f t="shared" ca="1" si="9"/>
        <v>14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3</v>
      </c>
      <c r="N94" s="212" t="str">
        <f ca="1">IF($D94&lt;&gt;"Serviço","",IF(AUTOEVENTO="Manual",IF($A94=0,"&lt;-- defina o número do agrupador",OFFSET(EVENTOS!$D$14,$A94,0)),OFFSET($F$15,$A94,0)))</f>
        <v>SERVIÇOS CONTRATADOS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2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hidden="1" x14ac:dyDescent="0.2">
      <c r="A95" s="9" t="str">
        <f t="shared" ca="1" si="9"/>
        <v>14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(Sem Código)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3</v>
      </c>
      <c r="N95" s="212" t="str">
        <f ca="1">IF($D95&lt;&gt;"Serviço","",IF(AUTOEVENTO="Manual",IF($A95=0,"&lt;-- defina o número do agrupador",OFFSET(EVENTOS!$D$14,$A95,0)),OFFSET($F$15,$A95,0)))</f>
        <v>SERVIÇOS CONTRATADOS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2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hidden="1" x14ac:dyDescent="0.2">
      <c r="A96" s="9" t="str">
        <f t="shared" ca="1" si="9"/>
        <v>14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(Sem Código)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3</v>
      </c>
      <c r="N96" s="212" t="str">
        <f ca="1">IF($D96&lt;&gt;"Serviço","",IF(AUTOEVENTO="Manual",IF($A96=0,"&lt;-- defina o número do agrupador",OFFSET(EVENTOS!$D$14,$A96,0)),OFFSET($F$15,$A96,0)))</f>
        <v>SERVIÇOS CONTRATADOS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2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hidden="1" x14ac:dyDescent="0.2">
      <c r="A97" s="9" t="str">
        <f t="shared" ca="1" si="9"/>
        <v>14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(Sem Código)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3</v>
      </c>
      <c r="N97" s="212" t="str">
        <f ca="1">IF($D97&lt;&gt;"Serviço","",IF(AUTOEVENTO="Manual",IF($A97=0,"&lt;-- defina o número do agrupador",OFFSET(EVENTOS!$D$14,$A97,0)),OFFSET($F$15,$A97,0)))</f>
        <v>SERVIÇOS CONTRATADOS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2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hidden="1" x14ac:dyDescent="0.2">
      <c r="A98" s="9" t="str">
        <f t="shared" ca="1" si="9"/>
        <v>14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(Sem Código)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3</v>
      </c>
      <c r="N98" s="212" t="str">
        <f ca="1">IF($D98&lt;&gt;"Serviço","",IF(AUTOEVENTO="Manual",IF($A98=0,"&lt;-- defina o número do agrupador",OFFSET(EVENTOS!$D$14,$A98,0)),OFFSET($F$15,$A98,0)))</f>
        <v>SERVIÇOS CONTRATADOS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2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hidden="1" x14ac:dyDescent="0.2">
      <c r="A99" s="9" t="str">
        <f t="shared" ca="1" si="9"/>
        <v>14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(Sem Código)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3</v>
      </c>
      <c r="N99" s="212" t="str">
        <f ca="1">IF($D99&lt;&gt;"Serviço","",IF(AUTOEVENTO="Manual",IF($A99=0,"&lt;-- defina o número do agrupador",OFFSET(EVENTOS!$D$14,$A99,0)),OFFSET($F$15,$A99,0)))</f>
        <v>SERVIÇOS CONTRATADOS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2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hidden="1" x14ac:dyDescent="0.2">
      <c r="A100" s="9" t="str">
        <f t="shared" ca="1" si="9"/>
        <v>14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3</v>
      </c>
      <c r="N100" s="212" t="str">
        <f ca="1">IF($D100&lt;&gt;"Serviço","",IF(AUTOEVENTO="Manual",IF($A100=0,"&lt;-- defina o número do agrupador",OFFSET(EVENTOS!$D$14,$A100,0)),OFFSET($F$15,$A100,0)))</f>
        <v>SERVIÇOS CONTRATADOS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2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hidden="1" x14ac:dyDescent="0.2">
      <c r="A101" s="9" t="str">
        <f t="shared" ca="1" si="9"/>
        <v>14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(Sem Código)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3</v>
      </c>
      <c r="N101" s="212" t="str">
        <f ca="1">IF($D101&lt;&gt;"Serviço","",IF(AUTOEVENTO="Manual",IF($A101=0,"&lt;-- defina o número do agrupador",OFFSET(EVENTOS!$D$14,$A101,0)),OFFSET($F$15,$A101,0)))</f>
        <v>SERVIÇOS CONTRATADOS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2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hidden="1" x14ac:dyDescent="0.2">
      <c r="A102" s="9" t="str">
        <f t="shared" ca="1" si="9"/>
        <v>14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3</v>
      </c>
      <c r="N102" s="212" t="str">
        <f ca="1">IF($D102&lt;&gt;"Serviço","",IF(AUTOEVENTO="Manual",IF($A102=0,"&lt;-- defina o número do agrupador",OFFSET(EVENTOS!$D$14,$A102,0)),OFFSET($F$15,$A102,0)))</f>
        <v>SERVIÇOS CONTRATADOS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2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hidden="1" x14ac:dyDescent="0.2">
      <c r="A103" s="9" t="str">
        <f t="shared" ca="1" si="9"/>
        <v>14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3</v>
      </c>
      <c r="N103" s="212" t="str">
        <f ca="1">IF($D103&lt;&gt;"Serviço","",IF(AUTOEVENTO="Manual",IF($A103=0,"&lt;-- defina o número do agrupador",OFFSET(EVENTOS!$D$14,$A103,0)),OFFSET($F$15,$A103,0)))</f>
        <v>SERVIÇOS CONTRATADOS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2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hidden="1" x14ac:dyDescent="0.2">
      <c r="A104" s="9" t="str">
        <f t="shared" ca="1" si="9"/>
        <v>14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3</v>
      </c>
      <c r="N104" s="212" t="str">
        <f ca="1">IF($D104&lt;&gt;"Serviço","",IF(AUTOEVENTO="Manual",IF($A104=0,"&lt;-- defina o número do agrupador",OFFSET(EVENTOS!$D$14,$A104,0)),OFFSET($F$15,$A104,0)))</f>
        <v>SERVIÇOS CONTRATADOS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2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hidden="1" x14ac:dyDescent="0.2">
      <c r="A105" s="9" t="str">
        <f t="shared" ca="1" si="9"/>
        <v>14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3</v>
      </c>
      <c r="N105" s="212" t="str">
        <f ca="1">IF($D105&lt;&gt;"Serviço","",IF(AUTOEVENTO="Manual",IF($A105=0,"&lt;-- defina o número do agrupador",OFFSET(EVENTOS!$D$14,$A105,0)),OFFSET($F$15,$A105,0)))</f>
        <v>SERVIÇOS CONTRATADOS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2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hidden="1" x14ac:dyDescent="0.2">
      <c r="A106" s="9" t="str">
        <f t="shared" ca="1" si="9"/>
        <v>14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3</v>
      </c>
      <c r="N106" s="212" t="str">
        <f ca="1">IF($D106&lt;&gt;"Serviço","",IF(AUTOEVENTO="Manual",IF($A106=0,"&lt;-- defina o número do agrupador",OFFSET(EVENTOS!$D$14,$A106,0)),OFFSET($F$15,$A106,0)))</f>
        <v>SERVIÇOS CONTRATADOS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2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hidden="1" x14ac:dyDescent="0.2">
      <c r="A107" s="9" t="str">
        <f t="shared" ca="1" si="9"/>
        <v>14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3</v>
      </c>
      <c r="N107" s="212" t="str">
        <f ca="1">IF($D107&lt;&gt;"Serviço","",IF(AUTOEVENTO="Manual",IF($A107=0,"&lt;-- defina o número do agrupador",OFFSET(EVENTOS!$D$14,$A107,0)),OFFSET($F$15,$A107,0)))</f>
        <v>SERVIÇOS CONTRATADOS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2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hidden="1" x14ac:dyDescent="0.2">
      <c r="A108" s="9" t="str">
        <f t="shared" ca="1" si="9"/>
        <v>14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3</v>
      </c>
      <c r="N108" s="212" t="str">
        <f ca="1">IF($D108&lt;&gt;"Serviço","",IF(AUTOEVENTO="Manual",IF($A108=0,"&lt;-- defina o número do agrupador",OFFSET(EVENTOS!$D$14,$A108,0)),OFFSET($F$15,$A108,0)))</f>
        <v>SERVIÇOS CONTRATADOS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2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hidden="1" x14ac:dyDescent="0.2">
      <c r="A109" s="9" t="str">
        <f t="shared" ca="1" si="9"/>
        <v>14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3</v>
      </c>
      <c r="N109" s="212" t="str">
        <f ca="1">IF($D109&lt;&gt;"Serviço","",IF(AUTOEVENTO="Manual",IF($A109=0,"&lt;-- defina o número do agrupador",OFFSET(EVENTOS!$D$14,$A109,0)),OFFSET($F$15,$A109,0)))</f>
        <v>SERVIÇOS CONTRATADOS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2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hidden="1" x14ac:dyDescent="0.2">
      <c r="A110" s="9" t="str">
        <f t="shared" ca="1" si="9"/>
        <v>14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(Sem Código)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3</v>
      </c>
      <c r="N110" s="212" t="str">
        <f ca="1">IF($D110&lt;&gt;"Serviço","",IF(AUTOEVENTO="Manual",IF($A110=0,"&lt;-- defina o número do agrupador",OFFSET(EVENTOS!$D$14,$A110,0)),OFFSET($F$15,$A110,0)))</f>
        <v>SERVIÇOS CONTRATADOS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2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hidden="1" x14ac:dyDescent="0.2">
      <c r="A111" s="9" t="str">
        <f t="shared" ca="1" si="9"/>
        <v>14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3</v>
      </c>
      <c r="N111" s="212" t="str">
        <f ca="1">IF($D111&lt;&gt;"Serviço","",IF(AUTOEVENTO="Manual",IF($A111=0,"&lt;-- defina o número do agrupador",OFFSET(EVENTOS!$D$14,$A111,0)),OFFSET($F$15,$A111,0)))</f>
        <v>SERVIÇOS CONTRATADOS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2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hidden="1" x14ac:dyDescent="0.2">
      <c r="A112" s="9" t="str">
        <f t="shared" ca="1" si="9"/>
        <v>14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3</v>
      </c>
      <c r="N112" s="212" t="str">
        <f ca="1">IF($D112&lt;&gt;"Serviço","",IF(AUTOEVENTO="Manual",IF($A112=0,"&lt;-- defina o número do agrupador",OFFSET(EVENTOS!$D$14,$A112,0)),OFFSET($F$15,$A112,0)))</f>
        <v>SERVIÇOS CONTRATADOS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2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hidden="1" x14ac:dyDescent="0.2">
      <c r="A113" s="9" t="str">
        <f t="shared" ca="1" si="9"/>
        <v>14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3</v>
      </c>
      <c r="N113" s="212" t="str">
        <f ca="1">IF($D113&lt;&gt;"Serviço","",IF(AUTOEVENTO="Manual",IF($A113=0,"&lt;-- defina o número do agrupador",OFFSET(EVENTOS!$D$14,$A113,0)),OFFSET($F$15,$A113,0)))</f>
        <v>SERVIÇOS CONTRATADOS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2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hidden="1" x14ac:dyDescent="0.2">
      <c r="A114" s="9" t="str">
        <f t="shared" ca="1" si="9"/>
        <v>14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3</v>
      </c>
      <c r="N114" s="212" t="str">
        <f ca="1">IF($D114&lt;&gt;"Serviço","",IF(AUTOEVENTO="Manual",IF($A114=0,"&lt;-- defina o número do agrupador",OFFSET(EVENTOS!$D$14,$A114,0)),OFFSET($F$15,$A114,0)))</f>
        <v>SERVIÇOS CONTRATADOS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2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hidden="1" x14ac:dyDescent="0.2">
      <c r="A115" s="9" t="str">
        <f t="shared" ca="1" si="9"/>
        <v>14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3</v>
      </c>
      <c r="N115" s="212" t="str">
        <f ca="1">IF($D115&lt;&gt;"Serviço","",IF(AUTOEVENTO="Manual",IF($A115=0,"&lt;-- defina o número do agrupador",OFFSET(EVENTOS!$D$14,$A115,0)),OFFSET($F$15,$A115,0)))</f>
        <v>SERVIÇOS CONTRATADOS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2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hidden="1" x14ac:dyDescent="0.2">
      <c r="A116" s="9" t="str">
        <f t="shared" ca="1" si="9"/>
        <v>14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3</v>
      </c>
      <c r="N116" s="212" t="str">
        <f ca="1">IF($D116&lt;&gt;"Serviço","",IF(AUTOEVENTO="Manual",IF($A116=0,"&lt;-- defina o número do agrupador",OFFSET(EVENTOS!$D$14,$A116,0)),OFFSET($F$15,$A116,0)))</f>
        <v>SERVIÇOS CONTRATADOS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2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hidden="1" x14ac:dyDescent="0.2">
      <c r="A117" s="9" t="str">
        <f t="shared" ca="1" si="9"/>
        <v>14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3</v>
      </c>
      <c r="N117" s="212" t="str">
        <f ca="1">IF($D117&lt;&gt;"Serviço","",IF(AUTOEVENTO="Manual",IF($A117=0,"&lt;-- defina o número do agrupador",OFFSET(EVENTOS!$D$14,$A117,0)),OFFSET($F$15,$A117,0)))</f>
        <v>SERVIÇOS CONTRATADOS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2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hidden="1" x14ac:dyDescent="0.2">
      <c r="A118" s="9" t="str">
        <f t="shared" ca="1" si="9"/>
        <v>14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3</v>
      </c>
      <c r="N118" s="212" t="str">
        <f ca="1">IF($D118&lt;&gt;"Serviço","",IF(AUTOEVENTO="Manual",IF($A118=0,"&lt;-- defina o número do agrupador",OFFSET(EVENTOS!$D$14,$A118,0)),OFFSET($F$15,$A118,0)))</f>
        <v>SERVIÇOS CONTRATADOS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2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hidden="1" x14ac:dyDescent="0.2">
      <c r="A119" s="9" t="str">
        <f t="shared" ca="1" si="9"/>
        <v>14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3</v>
      </c>
      <c r="N119" s="212" t="str">
        <f ca="1">IF($D119&lt;&gt;"Serviço","",IF(AUTOEVENTO="Manual",IF($A119=0,"&lt;-- defina o número do agrupador",OFFSET(EVENTOS!$D$14,$A119,0)),OFFSET($F$15,$A119,0)))</f>
        <v>SERVIÇOS CONTRATADOS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2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hidden="1" x14ac:dyDescent="0.2">
      <c r="A120" s="9" t="str">
        <f t="shared" ca="1" si="9"/>
        <v>14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3</v>
      </c>
      <c r="N120" s="212" t="str">
        <f ca="1">IF($D120&lt;&gt;"Serviço","",IF(AUTOEVENTO="Manual",IF($A120=0,"&lt;-- defina o número do agrupador",OFFSET(EVENTOS!$D$14,$A120,0)),OFFSET($F$15,$A120,0)))</f>
        <v>SERVIÇOS CONTRATADOS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2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hidden="1" x14ac:dyDescent="0.2">
      <c r="A121" s="9" t="str">
        <f t="shared" ca="1" si="9"/>
        <v>14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3</v>
      </c>
      <c r="N121" s="212" t="str">
        <f ca="1">IF($D121&lt;&gt;"Serviço","",IF(AUTOEVENTO="Manual",IF($A121=0,"&lt;-- defina o número do agrupador",OFFSET(EVENTOS!$D$14,$A121,0)),OFFSET($F$15,$A121,0)))</f>
        <v>SERVIÇOS CONTRATADOS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2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hidden="1" x14ac:dyDescent="0.2">
      <c r="A122" s="9" t="str">
        <f t="shared" ca="1" si="9"/>
        <v>14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3</v>
      </c>
      <c r="N122" s="212" t="str">
        <f ca="1">IF($D122&lt;&gt;"Serviço","",IF(AUTOEVENTO="Manual",IF($A122=0,"&lt;-- defina o número do agrupador",OFFSET(EVENTOS!$D$14,$A122,0)),OFFSET($F$15,$A122,0)))</f>
        <v>SERVIÇOS CONTRATADOS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2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hidden="1" x14ac:dyDescent="0.2">
      <c r="A123" s="9" t="str">
        <f t="shared" ca="1" si="9"/>
        <v>14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3</v>
      </c>
      <c r="N123" s="212" t="str">
        <f ca="1">IF($D123&lt;&gt;"Serviço","",IF(AUTOEVENTO="Manual",IF($A123=0,"&lt;-- defina o número do agrupador",OFFSET(EVENTOS!$D$14,$A123,0)),OFFSET($F$15,$A123,0)))</f>
        <v>SERVIÇOS CONTRATADOS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2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hidden="1" x14ac:dyDescent="0.2">
      <c r="A124" s="9" t="str">
        <f t="shared" ca="1" si="9"/>
        <v>14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3</v>
      </c>
      <c r="N124" s="212" t="str">
        <f ca="1">IF($D124&lt;&gt;"Serviço","",IF(AUTOEVENTO="Manual",IF($A124=0,"&lt;-- defina o número do agrupador",OFFSET(EVENTOS!$D$14,$A124,0)),OFFSET($F$15,$A124,0)))</f>
        <v>SERVIÇOS CONTRATADOS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2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hidden="1" x14ac:dyDescent="0.2">
      <c r="A125" s="9" t="str">
        <f t="shared" ca="1" si="9"/>
        <v>14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3</v>
      </c>
      <c r="N125" s="212" t="str">
        <f ca="1">IF($D125&lt;&gt;"Serviço","",IF(AUTOEVENTO="Manual",IF($A125=0,"&lt;-- defina o número do agrupador",OFFSET(EVENTOS!$D$14,$A125,0)),OFFSET($F$15,$A125,0)))</f>
        <v>SERVIÇOS CONTRATADOS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2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hidden="1" x14ac:dyDescent="0.2">
      <c r="A126" s="9" t="str">
        <f t="shared" ca="1" si="9"/>
        <v>14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3</v>
      </c>
      <c r="N126" s="212" t="str">
        <f ca="1">IF($D126&lt;&gt;"Serviço","",IF(AUTOEVENTO="Manual",IF($A126=0,"&lt;-- defina o número do agrupador",OFFSET(EVENTOS!$D$14,$A126,0)),OFFSET($F$15,$A126,0)))</f>
        <v>SERVIÇOS CONTRATADOS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2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hidden="1" x14ac:dyDescent="0.2">
      <c r="A127" s="9" t="str">
        <f t="shared" ca="1" si="9"/>
        <v>14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3</v>
      </c>
      <c r="N127" s="212" t="str">
        <f ca="1">IF($D127&lt;&gt;"Serviço","",IF(AUTOEVENTO="Manual",IF($A127=0,"&lt;-- defina o número do agrupador",OFFSET(EVENTOS!$D$14,$A127,0)),OFFSET($F$15,$A127,0)))</f>
        <v>SERVIÇOS CONTRATADOS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2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hidden="1" x14ac:dyDescent="0.2">
      <c r="A128" s="9" t="str">
        <f t="shared" ca="1" si="9"/>
        <v>14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3</v>
      </c>
      <c r="N128" s="212" t="str">
        <f ca="1">IF($D128&lt;&gt;"Serviço","",IF(AUTOEVENTO="Manual",IF($A128=0,"&lt;-- defina o número do agrupador",OFFSET(EVENTOS!$D$14,$A128,0)),OFFSET($F$15,$A128,0)))</f>
        <v>SERVIÇOS CONTRATADOS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2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hidden="1" x14ac:dyDescent="0.2">
      <c r="A129" s="9" t="str">
        <f t="shared" ca="1" si="9"/>
        <v>14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3</v>
      </c>
      <c r="N129" s="212" t="str">
        <f ca="1">IF($D129&lt;&gt;"Serviço","",IF(AUTOEVENTO="Manual",IF($A129=0,"&lt;-- defina o número do agrupador",OFFSET(EVENTOS!$D$14,$A129,0)),OFFSET($F$15,$A129,0)))</f>
        <v>SERVIÇOS CONTRATADOS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2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hidden="1" x14ac:dyDescent="0.2">
      <c r="A130" s="9" t="str">
        <f t="shared" ca="1" si="9"/>
        <v>14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3</v>
      </c>
      <c r="N130" s="212" t="str">
        <f ca="1">IF($D130&lt;&gt;"Serviço","",IF(AUTOEVENTO="Manual",IF($A130=0,"&lt;-- defina o número do agrupador",OFFSET(EVENTOS!$D$14,$A130,0)),OFFSET($F$15,$A130,0)))</f>
        <v>SERVIÇOS CONTRATADOS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2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hidden="1" x14ac:dyDescent="0.2">
      <c r="A131" s="9" t="str">
        <f t="shared" ca="1" si="9"/>
        <v>14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3</v>
      </c>
      <c r="N131" s="212" t="str">
        <f ca="1">IF($D131&lt;&gt;"Serviço","",IF(AUTOEVENTO="Manual",IF($A131=0,"&lt;-- defina o número do agrupador",OFFSET(EVENTOS!$D$14,$A131,0)),OFFSET($F$15,$A131,0)))</f>
        <v>SERVIÇOS CONTRATADOS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2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hidden="1" x14ac:dyDescent="0.2">
      <c r="A132" s="9" t="str">
        <f t="shared" ca="1" si="9"/>
        <v>14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3</v>
      </c>
      <c r="N132" s="212" t="str">
        <f ca="1">IF($D132&lt;&gt;"Serviço","",IF(AUTOEVENTO="Manual",IF($A132=0,"&lt;-- defina o número do agrupador",OFFSET(EVENTOS!$D$14,$A132,0)),OFFSET($F$15,$A132,0)))</f>
        <v>SERVIÇOS CONTRATADOS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2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hidden="1" x14ac:dyDescent="0.2">
      <c r="A133" s="9" t="str">
        <f t="shared" ca="1" si="9"/>
        <v>14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3</v>
      </c>
      <c r="N133" s="212" t="str">
        <f ca="1">IF($D133&lt;&gt;"Serviço","",IF(AUTOEVENTO="Manual",IF($A133=0,"&lt;-- defina o número do agrupador",OFFSET(EVENTOS!$D$14,$A133,0)),OFFSET($F$15,$A133,0)))</f>
        <v>SERVIÇOS CONTRATADOS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2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hidden="1" x14ac:dyDescent="0.2">
      <c r="A134" s="9" t="str">
        <f t="shared" ca="1" si="9"/>
        <v>14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3</v>
      </c>
      <c r="N134" s="212" t="str">
        <f ca="1">IF($D134&lt;&gt;"Serviço","",IF(AUTOEVENTO="Manual",IF($A134=0,"&lt;-- defina o número do agrupador",OFFSET(EVENTOS!$D$14,$A134,0)),OFFSET($F$15,$A134,0)))</f>
        <v>SERVIÇOS CONTRATADOS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2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hidden="1" x14ac:dyDescent="0.2">
      <c r="A135" s="9" t="str">
        <f t="shared" ca="1" si="9"/>
        <v>14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3</v>
      </c>
      <c r="N135" s="212" t="str">
        <f ca="1">IF($D135&lt;&gt;"Serviço","",IF(AUTOEVENTO="Manual",IF($A135=0,"&lt;-- defina o número do agrupador",OFFSET(EVENTOS!$D$14,$A135,0)),OFFSET($F$15,$A135,0)))</f>
        <v>SERVIÇOS CONTRATADOS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2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hidden="1" x14ac:dyDescent="0.2">
      <c r="A136" s="9" t="str">
        <f t="shared" ca="1" si="9"/>
        <v>14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3</v>
      </c>
      <c r="N136" s="212" t="str">
        <f ca="1">IF($D136&lt;&gt;"Serviço","",IF(AUTOEVENTO="Manual",IF($A136=0,"&lt;-- defina o número do agrupador",OFFSET(EVENTOS!$D$14,$A136,0)),OFFSET($F$15,$A136,0)))</f>
        <v>SERVIÇOS CONTRATADOS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2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hidden="1" x14ac:dyDescent="0.2">
      <c r="A137" s="9" t="str">
        <f t="shared" ca="1" si="9"/>
        <v>14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3</v>
      </c>
      <c r="N137" s="212" t="str">
        <f ca="1">IF($D137&lt;&gt;"Serviço","",IF(AUTOEVENTO="Manual",IF($A137=0,"&lt;-- defina o número do agrupador",OFFSET(EVENTOS!$D$14,$A137,0)),OFFSET($F$15,$A137,0)))</f>
        <v>SERVIÇOS CONTRATADOS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2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hidden="1" x14ac:dyDescent="0.2">
      <c r="A138" s="9" t="str">
        <f t="shared" ca="1" si="9"/>
        <v>14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3</v>
      </c>
      <c r="N138" s="212" t="str">
        <f ca="1">IF($D138&lt;&gt;"Serviço","",IF(AUTOEVENTO="Manual",IF($A138=0,"&lt;-- defina o número do agrupador",OFFSET(EVENTOS!$D$14,$A138,0)),OFFSET($F$15,$A138,0)))</f>
        <v>SERVIÇOS CONTRATADOS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2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hidden="1" x14ac:dyDescent="0.2">
      <c r="A139" s="9" t="str">
        <f t="shared" ca="1" si="9"/>
        <v>14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3</v>
      </c>
      <c r="N139" s="212" t="str">
        <f ca="1">IF($D139&lt;&gt;"Serviço","",IF(AUTOEVENTO="Manual",IF($A139=0,"&lt;-- defina o número do agrupador",OFFSET(EVENTOS!$D$14,$A139,0)),OFFSET($F$15,$A139,0)))</f>
        <v>SERVIÇOS CONTRATADOS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2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hidden="1" x14ac:dyDescent="0.2">
      <c r="A140" s="9" t="str">
        <f t="shared" ca="1" si="9"/>
        <v>14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3</v>
      </c>
      <c r="N140" s="212" t="str">
        <f ca="1">IF($D140&lt;&gt;"Serviço","",IF(AUTOEVENTO="Manual",IF($A140=0,"&lt;-- defina o número do agrupador",OFFSET(EVENTOS!$D$14,$A140,0)),OFFSET($F$15,$A140,0)))</f>
        <v>SERVIÇOS CONTRATADOS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2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hidden="1" x14ac:dyDescent="0.2">
      <c r="A141" s="9" t="str">
        <f t="shared" ca="1" si="9"/>
        <v>14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3</v>
      </c>
      <c r="N141" s="212" t="str">
        <f ca="1">IF($D141&lt;&gt;"Serviço","",IF(AUTOEVENTO="Manual",IF($A141=0,"&lt;-- defina o número do agrupador",OFFSET(EVENTOS!$D$14,$A141,0)),OFFSET($F$15,$A141,0)))</f>
        <v>SERVIÇOS CONTRATADOS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2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hidden="1" x14ac:dyDescent="0.2">
      <c r="A142" s="9" t="str">
        <f t="shared" ca="1" si="9"/>
        <v>14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3</v>
      </c>
      <c r="N142" s="212" t="str">
        <f ca="1">IF($D142&lt;&gt;"Serviço","",IF(AUTOEVENTO="Manual",IF($A142=0,"&lt;-- defina o número do agrupador",OFFSET(EVENTOS!$D$14,$A142,0)),OFFSET($F$15,$A142,0)))</f>
        <v>SERVIÇOS CONTRATADOS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2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hidden="1" x14ac:dyDescent="0.2">
      <c r="A143" s="9" t="str">
        <f t="shared" ca="1" si="9"/>
        <v>14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3</v>
      </c>
      <c r="N143" s="212" t="str">
        <f ca="1">IF($D143&lt;&gt;"Serviço","",IF(AUTOEVENTO="Manual",IF($A143=0,"&lt;-- defina o número do agrupador",OFFSET(EVENTOS!$D$14,$A143,0)),OFFSET($F$15,$A143,0)))</f>
        <v>SERVIÇOS CONTRATADOS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2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hidden="1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14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3</v>
      </c>
      <c r="N144" s="212" t="str">
        <f ca="1">IF($D144&lt;&gt;"Serviço","",IF(AUTOEVENTO="Manual",IF($A144=0,"&lt;-- defina o número do agrupador",OFFSET(EVENTOS!$D$14,$A144,0)),OFFSET($F$15,$A144,0)))</f>
        <v>SERVIÇOS CONTRATADOS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2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hidden="1" x14ac:dyDescent="0.2">
      <c r="A145" s="9" t="str">
        <f t="shared" ca="1" si="10"/>
        <v>14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3</v>
      </c>
      <c r="N145" s="212" t="str">
        <f ca="1">IF($D145&lt;&gt;"Serviço","",IF(AUTOEVENTO="Manual",IF($A145=0,"&lt;-- defina o número do agrupador",OFFSET(EVENTOS!$D$14,$A145,0)),OFFSET($F$15,$A145,0)))</f>
        <v>SERVIÇOS CONTRATADOS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2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hidden="1" x14ac:dyDescent="0.2">
      <c r="A146" s="9" t="str">
        <f t="shared" ca="1" si="10"/>
        <v>14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3</v>
      </c>
      <c r="N146" s="212" t="str">
        <f ca="1">IF($D146&lt;&gt;"Serviço","",IF(AUTOEVENTO="Manual",IF($A146=0,"&lt;-- defina o número do agrupador",OFFSET(EVENTOS!$D$14,$A146,0)),OFFSET($F$15,$A146,0)))</f>
        <v>SERVIÇOS CONTRATADOS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2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hidden="1" x14ac:dyDescent="0.2">
      <c r="A147" s="9" t="str">
        <f t="shared" ca="1" si="10"/>
        <v>14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3</v>
      </c>
      <c r="N147" s="212" t="str">
        <f ca="1">IF($D147&lt;&gt;"Serviço","",IF(AUTOEVENTO="Manual",IF($A147=0,"&lt;-- defina o número do agrupador",OFFSET(EVENTOS!$D$14,$A147,0)),OFFSET($F$15,$A147,0)))</f>
        <v>SERVIÇOS CONTRATADOS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2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hidden="1" x14ac:dyDescent="0.2">
      <c r="A148" s="9" t="str">
        <f t="shared" ca="1" si="10"/>
        <v>14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3</v>
      </c>
      <c r="N148" s="212" t="str">
        <f ca="1">IF($D148&lt;&gt;"Serviço","",IF(AUTOEVENTO="Manual",IF($A148=0,"&lt;-- defina o número do agrupador",OFFSET(EVENTOS!$D$14,$A148,0)),OFFSET($F$15,$A148,0)))</f>
        <v>SERVIÇOS CONTRATADOS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2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hidden="1" x14ac:dyDescent="0.2">
      <c r="A149" s="9" t="str">
        <f t="shared" ca="1" si="10"/>
        <v>14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3</v>
      </c>
      <c r="N149" s="212" t="str">
        <f ca="1">IF($D149&lt;&gt;"Serviço","",IF(AUTOEVENTO="Manual",IF($A149=0,"&lt;-- defina o número do agrupador",OFFSET(EVENTOS!$D$14,$A149,0)),OFFSET($F$15,$A149,0)))</f>
        <v>SERVIÇOS CONTRATADOS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2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hidden="1" x14ac:dyDescent="0.2">
      <c r="A150" s="9" t="str">
        <f t="shared" ca="1" si="10"/>
        <v>14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3</v>
      </c>
      <c r="N150" s="212" t="str">
        <f ca="1">IF($D150&lt;&gt;"Serviço","",IF(AUTOEVENTO="Manual",IF($A150=0,"&lt;-- defina o número do agrupador",OFFSET(EVENTOS!$D$14,$A150,0)),OFFSET($F$15,$A150,0)))</f>
        <v>SERVIÇOS CONTRATADOS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2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hidden="1" x14ac:dyDescent="0.2">
      <c r="A151" s="9" t="str">
        <f t="shared" ca="1" si="10"/>
        <v>14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3</v>
      </c>
      <c r="N151" s="212" t="str">
        <f ca="1">IF($D151&lt;&gt;"Serviço","",IF(AUTOEVENTO="Manual",IF($A151=0,"&lt;-- defina o número do agrupador",OFFSET(EVENTOS!$D$14,$A151,0)),OFFSET($F$15,$A151,0)))</f>
        <v>SERVIÇOS CONTRATADOS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2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hidden="1" x14ac:dyDescent="0.2">
      <c r="A152" s="9" t="str">
        <f t="shared" ca="1" si="10"/>
        <v>14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3</v>
      </c>
      <c r="N152" s="212" t="str">
        <f ca="1">IF($D152&lt;&gt;"Serviço","",IF(AUTOEVENTO="Manual",IF($A152=0,"&lt;-- defina o número do agrupador",OFFSET(EVENTOS!$D$14,$A152,0)),OFFSET($F$15,$A152,0)))</f>
        <v>SERVIÇOS CONTRATADOS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2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hidden="1" x14ac:dyDescent="0.2">
      <c r="A153" s="9" t="str">
        <f t="shared" ca="1" si="10"/>
        <v>14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3</v>
      </c>
      <c r="N153" s="212" t="str">
        <f ca="1">IF($D153&lt;&gt;"Serviço","",IF(AUTOEVENTO="Manual",IF($A153=0,"&lt;-- defina o número do agrupador",OFFSET(EVENTOS!$D$14,$A153,0)),OFFSET($F$15,$A153,0)))</f>
        <v>SERVIÇOS CONTRATADOS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2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hidden="1" x14ac:dyDescent="0.2">
      <c r="A154" s="9" t="str">
        <f t="shared" ca="1" si="10"/>
        <v>14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3</v>
      </c>
      <c r="N154" s="212" t="str">
        <f ca="1">IF($D154&lt;&gt;"Serviço","",IF(AUTOEVENTO="Manual",IF($A154=0,"&lt;-- defina o número do agrupador",OFFSET(EVENTOS!$D$14,$A154,0)),OFFSET($F$15,$A154,0)))</f>
        <v>SERVIÇOS CONTRATADOS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2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hidden="1" x14ac:dyDescent="0.2">
      <c r="A155" s="9" t="str">
        <f t="shared" ca="1" si="10"/>
        <v>14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3</v>
      </c>
      <c r="N155" s="212" t="str">
        <f ca="1">IF($D155&lt;&gt;"Serviço","",IF(AUTOEVENTO="Manual",IF($A155=0,"&lt;-- defina o número do agrupador",OFFSET(EVENTOS!$D$14,$A155,0)),OFFSET($F$15,$A155,0)))</f>
        <v>SERVIÇOS CONTRATADOS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2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hidden="1" x14ac:dyDescent="0.2">
      <c r="A156" s="9" t="str">
        <f t="shared" ca="1" si="10"/>
        <v>14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3</v>
      </c>
      <c r="N156" s="212" t="str">
        <f ca="1">IF($D156&lt;&gt;"Serviço","",IF(AUTOEVENTO="Manual",IF($A156=0,"&lt;-- defina o número do agrupador",OFFSET(EVENTOS!$D$14,$A156,0)),OFFSET($F$15,$A156,0)))</f>
        <v>SERVIÇOS CONTRATADOS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2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hidden="1" x14ac:dyDescent="0.2">
      <c r="A157" s="9" t="str">
        <f t="shared" ca="1" si="10"/>
        <v>14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3</v>
      </c>
      <c r="N157" s="212" t="str">
        <f ca="1">IF($D157&lt;&gt;"Serviço","",IF(AUTOEVENTO="Manual",IF($A157=0,"&lt;-- defina o número do agrupador",OFFSET(EVENTOS!$D$14,$A157,0)),OFFSET($F$15,$A157,0)))</f>
        <v>SERVIÇOS CONTRATADOS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2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hidden="1" x14ac:dyDescent="0.2">
      <c r="A158" s="9" t="str">
        <f t="shared" ca="1" si="10"/>
        <v>14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3</v>
      </c>
      <c r="N158" s="212" t="str">
        <f ca="1">IF($D158&lt;&gt;"Serviço","",IF(AUTOEVENTO="Manual",IF($A158=0,"&lt;-- defina o número do agrupador",OFFSET(EVENTOS!$D$14,$A158,0)),OFFSET($F$15,$A158,0)))</f>
        <v>SERVIÇOS CONTRATADOS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2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hidden="1" x14ac:dyDescent="0.2">
      <c r="A159" s="9" t="str">
        <f t="shared" ca="1" si="10"/>
        <v>14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3</v>
      </c>
      <c r="N159" s="212" t="str">
        <f ca="1">IF($D159&lt;&gt;"Serviço","",IF(AUTOEVENTO="Manual",IF($A159=0,"&lt;-- defina o número do agrupador",OFFSET(EVENTOS!$D$14,$A159,0)),OFFSET($F$15,$A159,0)))</f>
        <v>SERVIÇOS CONTRATADOS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2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hidden="1" x14ac:dyDescent="0.2">
      <c r="A160" s="9" t="str">
        <f t="shared" ca="1" si="10"/>
        <v>14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3</v>
      </c>
      <c r="N160" s="212" t="str">
        <f ca="1">IF($D160&lt;&gt;"Serviço","",IF(AUTOEVENTO="Manual",IF($A160=0,"&lt;-- defina o número do agrupador",OFFSET(EVENTOS!$D$14,$A160,0)),OFFSET($F$15,$A160,0)))</f>
        <v>SERVIÇOS CONTRATADOS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2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hidden="1" x14ac:dyDescent="0.2">
      <c r="A161" s="9" t="str">
        <f t="shared" ca="1" si="10"/>
        <v>14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3</v>
      </c>
      <c r="N161" s="212" t="str">
        <f ca="1">IF($D161&lt;&gt;"Serviço","",IF(AUTOEVENTO="Manual",IF($A161=0,"&lt;-- defina o número do agrupador",OFFSET(EVENTOS!$D$14,$A161,0)),OFFSET($F$15,$A161,0)))</f>
        <v>SERVIÇOS CONTRATADOS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2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hidden="1" x14ac:dyDescent="0.2">
      <c r="A162" s="9" t="str">
        <f t="shared" ca="1" si="10"/>
        <v>14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3</v>
      </c>
      <c r="N162" s="212" t="str">
        <f ca="1">IF($D162&lt;&gt;"Serviço","",IF(AUTOEVENTO="Manual",IF($A162=0,"&lt;-- defina o número do agrupador",OFFSET(EVENTOS!$D$14,$A162,0)),OFFSET($F$15,$A162,0)))</f>
        <v>SERVIÇOS CONTRATADOS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2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hidden="1" x14ac:dyDescent="0.2">
      <c r="A163" s="9" t="str">
        <f t="shared" ca="1" si="10"/>
        <v>14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3</v>
      </c>
      <c r="N163" s="212" t="str">
        <f ca="1">IF($D163&lt;&gt;"Serviço","",IF(AUTOEVENTO="Manual",IF($A163=0,"&lt;-- defina o número do agrupador",OFFSET(EVENTOS!$D$14,$A163,0)),OFFSET($F$15,$A163,0)))</f>
        <v>SERVIÇOS CONTRATADOS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2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hidden="1" x14ac:dyDescent="0.2">
      <c r="A164" s="9" t="str">
        <f t="shared" ca="1" si="10"/>
        <v>14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3</v>
      </c>
      <c r="N164" s="212" t="str">
        <f ca="1">IF($D164&lt;&gt;"Serviço","",IF(AUTOEVENTO="Manual",IF($A164=0,"&lt;-- defina o número do agrupador",OFFSET(EVENTOS!$D$14,$A164,0)),OFFSET($F$15,$A164,0)))</f>
        <v>SERVIÇOS CONTRATADOS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2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hidden="1" x14ac:dyDescent="0.2">
      <c r="A165" s="9" t="str">
        <f t="shared" ca="1" si="10"/>
        <v>14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3</v>
      </c>
      <c r="N165" s="212" t="str">
        <f ca="1">IF($D165&lt;&gt;"Serviço","",IF(AUTOEVENTO="Manual",IF($A165=0,"&lt;-- defina o número do agrupador",OFFSET(EVENTOS!$D$14,$A165,0)),OFFSET($F$15,$A165,0)))</f>
        <v>SERVIÇOS CONTRATADOS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2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hidden="1" x14ac:dyDescent="0.2">
      <c r="A166" s="9" t="str">
        <f t="shared" ca="1" si="10"/>
        <v>14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3</v>
      </c>
      <c r="N166" s="212" t="str">
        <f ca="1">IF($D166&lt;&gt;"Serviço","",IF(AUTOEVENTO="Manual",IF($A166=0,"&lt;-- defina o número do agrupador",OFFSET(EVENTOS!$D$14,$A166,0)),OFFSET($F$15,$A166,0)))</f>
        <v>SERVIÇOS CONTRATADOS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2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hidden="1" x14ac:dyDescent="0.2">
      <c r="A167" s="9" t="str">
        <f t="shared" ca="1" si="10"/>
        <v>14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3</v>
      </c>
      <c r="N167" s="212" t="str">
        <f ca="1">IF($D167&lt;&gt;"Serviço","",IF(AUTOEVENTO="Manual",IF($A167=0,"&lt;-- defina o número do agrupador",OFFSET(EVENTOS!$D$14,$A167,0)),OFFSET($F$15,$A167,0)))</f>
        <v>SERVIÇOS CONTRATADOS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2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hidden="1" x14ac:dyDescent="0.2">
      <c r="A168" s="9" t="str">
        <f t="shared" ca="1" si="10"/>
        <v>14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3</v>
      </c>
      <c r="N168" s="212" t="str">
        <f ca="1">IF($D168&lt;&gt;"Serviço","",IF(AUTOEVENTO="Manual",IF($A168=0,"&lt;-- defina o número do agrupador",OFFSET(EVENTOS!$D$14,$A168,0)),OFFSET($F$15,$A168,0)))</f>
        <v>SERVIÇOS CONTRATADOS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2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hidden="1" x14ac:dyDescent="0.2">
      <c r="A169" s="9" t="str">
        <f t="shared" ca="1" si="10"/>
        <v>14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3</v>
      </c>
      <c r="N169" s="212" t="str">
        <f ca="1">IF($D169&lt;&gt;"Serviço","",IF(AUTOEVENTO="Manual",IF($A169=0,"&lt;-- defina o número do agrupador",OFFSET(EVENTOS!$D$14,$A169,0)),OFFSET($F$15,$A169,0)))</f>
        <v>SERVIÇOS CONTRATADOS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2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hidden="1" x14ac:dyDescent="0.2">
      <c r="A170" s="9" t="str">
        <f t="shared" ca="1" si="10"/>
        <v>14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3</v>
      </c>
      <c r="N170" s="212" t="str">
        <f ca="1">IF($D170&lt;&gt;"Serviço","",IF(AUTOEVENTO="Manual",IF($A170=0,"&lt;-- defina o número do agrupador",OFFSET(EVENTOS!$D$14,$A170,0)),OFFSET($F$15,$A170,0)))</f>
        <v>SERVIÇOS CONTRATADOS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2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hidden="1" x14ac:dyDescent="0.2">
      <c r="A171" s="9" t="str">
        <f t="shared" ca="1" si="10"/>
        <v>14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3</v>
      </c>
      <c r="N171" s="212" t="str">
        <f ca="1">IF($D171&lt;&gt;"Serviço","",IF(AUTOEVENTO="Manual",IF($A171=0,"&lt;-- defina o número do agrupador",OFFSET(EVENTOS!$D$14,$A171,0)),OFFSET($F$15,$A171,0)))</f>
        <v>SERVIÇOS CONTRATADOS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2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hidden="1" x14ac:dyDescent="0.2">
      <c r="A172" s="9" t="str">
        <f t="shared" ca="1" si="10"/>
        <v>14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3</v>
      </c>
      <c r="N172" s="212" t="str">
        <f ca="1">IF($D172&lt;&gt;"Serviço","",IF(AUTOEVENTO="Manual",IF($A172=0,"&lt;-- defina o número do agrupador",OFFSET(EVENTOS!$D$14,$A172,0)),OFFSET($F$15,$A172,0)))</f>
        <v>SERVIÇOS CONTRATADOS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2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hidden="1" x14ac:dyDescent="0.2">
      <c r="A173" s="9" t="str">
        <f t="shared" ca="1" si="10"/>
        <v>14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3</v>
      </c>
      <c r="N173" s="212" t="str">
        <f ca="1">IF($D173&lt;&gt;"Serviço","",IF(AUTOEVENTO="Manual",IF($A173=0,"&lt;-- defina o número do agrupador",OFFSET(EVENTOS!$D$14,$A173,0)),OFFSET($F$15,$A173,0)))</f>
        <v>SERVIÇOS CONTRATADOS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2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hidden="1" x14ac:dyDescent="0.2">
      <c r="A174" s="9" t="str">
        <f t="shared" ca="1" si="10"/>
        <v>14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3</v>
      </c>
      <c r="N174" s="212" t="str">
        <f ca="1">IF($D174&lt;&gt;"Serviço","",IF(AUTOEVENTO="Manual",IF($A174=0,"&lt;-- defina o número do agrupador",OFFSET(EVENTOS!$D$14,$A174,0)),OFFSET($F$15,$A174,0)))</f>
        <v>SERVIÇOS CONTRATADOS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2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hidden="1" x14ac:dyDescent="0.2">
      <c r="A175" s="9" t="str">
        <f t="shared" ca="1" si="10"/>
        <v>14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3</v>
      </c>
      <c r="N175" s="212" t="str">
        <f ca="1">IF($D175&lt;&gt;"Serviço","",IF(AUTOEVENTO="Manual",IF($A175=0,"&lt;-- defina o número do agrupador",OFFSET(EVENTOS!$D$14,$A175,0)),OFFSET($F$15,$A175,0)))</f>
        <v>SERVIÇOS CONTRATADOS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2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hidden="1" x14ac:dyDescent="0.2">
      <c r="A176" s="9" t="str">
        <f t="shared" ca="1" si="10"/>
        <v>14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3</v>
      </c>
      <c r="N176" s="212" t="str">
        <f ca="1">IF($D176&lt;&gt;"Serviço","",IF(AUTOEVENTO="Manual",IF($A176=0,"&lt;-- defina o número do agrupador",OFFSET(EVENTOS!$D$14,$A176,0)),OFFSET($F$15,$A176,0)))</f>
        <v>SERVIÇOS CONTRATADOS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2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hidden="1" x14ac:dyDescent="0.2">
      <c r="A177" s="9" t="str">
        <f t="shared" ca="1" si="10"/>
        <v>14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3</v>
      </c>
      <c r="N177" s="212" t="str">
        <f ca="1">IF($D177&lt;&gt;"Serviço","",IF(AUTOEVENTO="Manual",IF($A177=0,"&lt;-- defina o número do agrupador",OFFSET(EVENTOS!$D$14,$A177,0)),OFFSET($F$15,$A177,0)))</f>
        <v>SERVIÇOS CONTRATADOS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2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hidden="1" x14ac:dyDescent="0.2">
      <c r="A178" s="9" t="str">
        <f t="shared" ca="1" si="10"/>
        <v>14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3</v>
      </c>
      <c r="N178" s="212" t="str">
        <f ca="1">IF($D178&lt;&gt;"Serviço","",IF(AUTOEVENTO="Manual",IF($A178=0,"&lt;-- defina o número do agrupador",OFFSET(EVENTOS!$D$14,$A178,0)),OFFSET($F$15,$A178,0)))</f>
        <v>SERVIÇOS CONTRATADOS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2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hidden="1" x14ac:dyDescent="0.2">
      <c r="A179" s="9" t="str">
        <f t="shared" ca="1" si="10"/>
        <v>14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3</v>
      </c>
      <c r="N179" s="212" t="str">
        <f ca="1">IF($D179&lt;&gt;"Serviço","",IF(AUTOEVENTO="Manual",IF($A179=0,"&lt;-- defina o número do agrupador",OFFSET(EVENTOS!$D$14,$A179,0)),OFFSET($F$15,$A179,0)))</f>
        <v>SERVIÇOS CONTRATADOS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2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hidden="1" x14ac:dyDescent="0.2">
      <c r="A180" s="9" t="str">
        <f t="shared" ca="1" si="10"/>
        <v>14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3</v>
      </c>
      <c r="N180" s="212" t="str">
        <f ca="1">IF($D180&lt;&gt;"Serviço","",IF(AUTOEVENTO="Manual",IF($A180=0,"&lt;-- defina o número do agrupador",OFFSET(EVENTOS!$D$14,$A180,0)),OFFSET($F$15,$A180,0)))</f>
        <v>SERVIÇOS CONTRATADOS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2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hidden="1" x14ac:dyDescent="0.2">
      <c r="A181" s="9" t="str">
        <f t="shared" ca="1" si="10"/>
        <v>14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3</v>
      </c>
      <c r="N181" s="212" t="str">
        <f ca="1">IF($D181&lt;&gt;"Serviço","",IF(AUTOEVENTO="Manual",IF($A181=0,"&lt;-- defina o número do agrupador",OFFSET(EVENTOS!$D$14,$A181,0)),OFFSET($F$15,$A181,0)))</f>
        <v>SERVIÇOS CONTRATADOS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2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hidden="1" x14ac:dyDescent="0.2">
      <c r="A182" s="9" t="str">
        <f t="shared" ca="1" si="10"/>
        <v>14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3</v>
      </c>
      <c r="N182" s="212" t="str">
        <f ca="1">IF($D182&lt;&gt;"Serviço","",IF(AUTOEVENTO="Manual",IF($A182=0,"&lt;-- defina o número do agrupador",OFFSET(EVENTOS!$D$14,$A182,0)),OFFSET($F$15,$A182,0)))</f>
        <v>SERVIÇOS CONTRATADOS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2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hidden="1" x14ac:dyDescent="0.2">
      <c r="A183" s="9" t="str">
        <f t="shared" ca="1" si="10"/>
        <v>14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3</v>
      </c>
      <c r="N183" s="212" t="str">
        <f ca="1">IF($D183&lt;&gt;"Serviço","",IF(AUTOEVENTO="Manual",IF($A183=0,"&lt;-- defina o número do agrupador",OFFSET(EVENTOS!$D$14,$A183,0)),OFFSET($F$15,$A183,0)))</f>
        <v>SERVIÇOS CONTRATADOS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2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hidden="1" x14ac:dyDescent="0.2">
      <c r="A184" s="9" t="str">
        <f t="shared" ca="1" si="10"/>
        <v>14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3</v>
      </c>
      <c r="N184" s="212" t="str">
        <f ca="1">IF($D184&lt;&gt;"Serviço","",IF(AUTOEVENTO="Manual",IF($A184=0,"&lt;-- defina o número do agrupador",OFFSET(EVENTOS!$D$14,$A184,0)),OFFSET($F$15,$A184,0)))</f>
        <v>SERVIÇOS CONTRATADOS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2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hidden="1" x14ac:dyDescent="0.2">
      <c r="A185" s="9" t="str">
        <f t="shared" ca="1" si="10"/>
        <v>14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3</v>
      </c>
      <c r="N185" s="212" t="str">
        <f ca="1">IF($D185&lt;&gt;"Serviço","",IF(AUTOEVENTO="Manual",IF($A185=0,"&lt;-- defina o número do agrupador",OFFSET(EVENTOS!$D$14,$A185,0)),OFFSET($F$15,$A185,0)))</f>
        <v>SERVIÇOS CONTRATADOS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2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hidden="1" x14ac:dyDescent="0.2">
      <c r="A186" s="9" t="str">
        <f t="shared" ca="1" si="10"/>
        <v>14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3</v>
      </c>
      <c r="N186" s="212" t="str">
        <f ca="1">IF($D186&lt;&gt;"Serviço","",IF(AUTOEVENTO="Manual",IF($A186=0,"&lt;-- defina o número do agrupador",OFFSET(EVENTOS!$D$14,$A186,0)),OFFSET($F$15,$A186,0)))</f>
        <v>SERVIÇOS CONTRATADOS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2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hidden="1" x14ac:dyDescent="0.2">
      <c r="A187" s="9" t="str">
        <f t="shared" ca="1" si="10"/>
        <v>14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3</v>
      </c>
      <c r="N187" s="212" t="str">
        <f ca="1">IF($D187&lt;&gt;"Serviço","",IF(AUTOEVENTO="Manual",IF($A187=0,"&lt;-- defina o número do agrupador",OFFSET(EVENTOS!$D$14,$A187,0)),OFFSET($F$15,$A187,0)))</f>
        <v>SERVIÇOS CONTRATADOS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2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hidden="1" x14ac:dyDescent="0.2">
      <c r="A188" s="9" t="str">
        <f t="shared" ca="1" si="10"/>
        <v>14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3</v>
      </c>
      <c r="N188" s="212" t="str">
        <f ca="1">IF($D188&lt;&gt;"Serviço","",IF(AUTOEVENTO="Manual",IF($A188=0,"&lt;-- defina o número do agrupador",OFFSET(EVENTOS!$D$14,$A188,0)),OFFSET($F$15,$A188,0)))</f>
        <v>SERVIÇOS CONTRATADOS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2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hidden="1" x14ac:dyDescent="0.2">
      <c r="A189" s="9" t="str">
        <f t="shared" ca="1" si="10"/>
        <v>14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3</v>
      </c>
      <c r="N189" s="212" t="str">
        <f ca="1">IF($D189&lt;&gt;"Serviço","",IF(AUTOEVENTO="Manual",IF($A189=0,"&lt;-- defina o número do agrupador",OFFSET(EVENTOS!$D$14,$A189,0)),OFFSET($F$15,$A189,0)))</f>
        <v>SERVIÇOS CONTRATADOS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2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hidden="1" x14ac:dyDescent="0.2">
      <c r="A190" s="9" t="str">
        <f t="shared" ca="1" si="10"/>
        <v>14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3</v>
      </c>
      <c r="N190" s="212" t="str">
        <f ca="1">IF($D190&lt;&gt;"Serviço","",IF(AUTOEVENTO="Manual",IF($A190=0,"&lt;-- defina o número do agrupador",OFFSET(EVENTOS!$D$14,$A190,0)),OFFSET($F$15,$A190,0)))</f>
        <v>SERVIÇOS CONTRATADOS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2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hidden="1" x14ac:dyDescent="0.2">
      <c r="A191" s="9" t="str">
        <f t="shared" ca="1" si="10"/>
        <v>14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3</v>
      </c>
      <c r="N191" s="212" t="str">
        <f ca="1">IF($D191&lt;&gt;"Serviço","",IF(AUTOEVENTO="Manual",IF($A191=0,"&lt;-- defina o número do agrupador",OFFSET(EVENTOS!$D$14,$A191,0)),OFFSET($F$15,$A191,0)))</f>
        <v>SERVIÇOS CONTRATADOS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2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hidden="1" x14ac:dyDescent="0.2">
      <c r="A192" s="9" t="str">
        <f t="shared" ca="1" si="10"/>
        <v>14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3</v>
      </c>
      <c r="N192" s="212" t="str">
        <f ca="1">IF($D192&lt;&gt;"Serviço","",IF(AUTOEVENTO="Manual",IF($A192=0,"&lt;-- defina o número do agrupador",OFFSET(EVENTOS!$D$14,$A192,0)),OFFSET($F$15,$A192,0)))</f>
        <v>SERVIÇOS CONTRATADOS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2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hidden="1" x14ac:dyDescent="0.2">
      <c r="A193" s="9" t="str">
        <f t="shared" ca="1" si="10"/>
        <v>14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3</v>
      </c>
      <c r="N193" s="212" t="str">
        <f ca="1">IF($D193&lt;&gt;"Serviço","",IF(AUTOEVENTO="Manual",IF($A193=0,"&lt;-- defina o número do agrupador",OFFSET(EVENTOS!$D$14,$A193,0)),OFFSET($F$15,$A193,0)))</f>
        <v>SERVIÇOS CONTRATADOS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2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hidden="1" x14ac:dyDescent="0.2">
      <c r="A194" s="9" t="str">
        <f t="shared" ca="1" si="10"/>
        <v>14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3</v>
      </c>
      <c r="N194" s="212" t="str">
        <f ca="1">IF($D194&lt;&gt;"Serviço","",IF(AUTOEVENTO="Manual",IF($A194=0,"&lt;-- defina o número do agrupador",OFFSET(EVENTOS!$D$14,$A194,0)),OFFSET($F$15,$A194,0)))</f>
        <v>SERVIÇOS CONTRATADOS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2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hidden="1" x14ac:dyDescent="0.2">
      <c r="A195" s="9" t="str">
        <f t="shared" ca="1" si="10"/>
        <v>14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3</v>
      </c>
      <c r="N195" s="212" t="str">
        <f ca="1">IF($D195&lt;&gt;"Serviço","",IF(AUTOEVENTO="Manual",IF($A195=0,"&lt;-- defina o número do agrupador",OFFSET(EVENTOS!$D$14,$A195,0)),OFFSET($F$15,$A195,0)))</f>
        <v>SERVIÇOS CONTRATADOS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2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hidden="1" x14ac:dyDescent="0.2">
      <c r="A196" s="9" t="str">
        <f t="shared" ca="1" si="10"/>
        <v>14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3</v>
      </c>
      <c r="N196" s="212" t="str">
        <f ca="1">IF($D196&lt;&gt;"Serviço","",IF(AUTOEVENTO="Manual",IF($A196=0,"&lt;-- defina o número do agrupador",OFFSET(EVENTOS!$D$14,$A196,0)),OFFSET($F$15,$A196,0)))</f>
        <v>SERVIÇOS CONTRATADOS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2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hidden="1" x14ac:dyDescent="0.2">
      <c r="A197" s="9" t="str">
        <f t="shared" ca="1" si="10"/>
        <v>14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3</v>
      </c>
      <c r="N197" s="212" t="str">
        <f ca="1">IF($D197&lt;&gt;"Serviço","",IF(AUTOEVENTO="Manual",IF($A197=0,"&lt;-- defina o número do agrupador",OFFSET(EVENTOS!$D$14,$A197,0)),OFFSET($F$15,$A197,0)))</f>
        <v>SERVIÇOS CONTRATADOS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2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hidden="1" x14ac:dyDescent="0.2">
      <c r="A198" s="9" t="str">
        <f t="shared" ca="1" si="10"/>
        <v>14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3</v>
      </c>
      <c r="N198" s="212" t="str">
        <f ca="1">IF($D198&lt;&gt;"Serviço","",IF(AUTOEVENTO="Manual",IF($A198=0,"&lt;-- defina o número do agrupador",OFFSET(EVENTOS!$D$14,$A198,0)),OFFSET($F$15,$A198,0)))</f>
        <v>SERVIÇOS CONTRATADOS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2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hidden="1" x14ac:dyDescent="0.2">
      <c r="A199" s="9" t="str">
        <f t="shared" ca="1" si="10"/>
        <v>14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3</v>
      </c>
      <c r="N199" s="212" t="str">
        <f ca="1">IF($D199&lt;&gt;"Serviço","",IF(AUTOEVENTO="Manual",IF($A199=0,"&lt;-- defina o número do agrupador",OFFSET(EVENTOS!$D$14,$A199,0)),OFFSET($F$15,$A199,0)))</f>
        <v>SERVIÇOS CONTRATADOS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2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hidden="1" x14ac:dyDescent="0.2">
      <c r="A200" s="9" t="str">
        <f t="shared" ca="1" si="10"/>
        <v>14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3</v>
      </c>
      <c r="N200" s="212" t="str">
        <f ca="1">IF($D200&lt;&gt;"Serviço","",IF(AUTOEVENTO="Manual",IF($A200=0,"&lt;-- defina o número do agrupador",OFFSET(EVENTOS!$D$14,$A200,0)),OFFSET($F$15,$A200,0)))</f>
        <v>SERVIÇOS CONTRATADOS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2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hidden="1" x14ac:dyDescent="0.2">
      <c r="A201" s="9" t="str">
        <f t="shared" ca="1" si="10"/>
        <v>14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3</v>
      </c>
      <c r="N201" s="212" t="str">
        <f ca="1">IF($D201&lt;&gt;"Serviço","",IF(AUTOEVENTO="Manual",IF($A201=0,"&lt;-- defina o número do agrupador",OFFSET(EVENTOS!$D$14,$A201,0)),OFFSET($F$15,$A201,0)))</f>
        <v>SERVIÇOS CONTRATADOS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2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hidden="1" x14ac:dyDescent="0.2">
      <c r="A202" s="9" t="str">
        <f t="shared" ca="1" si="10"/>
        <v>14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3</v>
      </c>
      <c r="N202" s="212" t="str">
        <f ca="1">IF($D202&lt;&gt;"Serviço","",IF(AUTOEVENTO="Manual",IF($A202=0,"&lt;-- defina o número do agrupador",OFFSET(EVENTOS!$D$14,$A202,0)),OFFSET($F$15,$A202,0)))</f>
        <v>SERVIÇOS CONTRATADOS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2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hidden="1" x14ac:dyDescent="0.2">
      <c r="A203" s="9" t="str">
        <f t="shared" ca="1" si="10"/>
        <v>14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3</v>
      </c>
      <c r="N203" s="212" t="str">
        <f ca="1">IF($D203&lt;&gt;"Serviço","",IF(AUTOEVENTO="Manual",IF($A203=0,"&lt;-- defina o número do agrupador",OFFSET(EVENTOS!$D$14,$A203,0)),OFFSET($F$15,$A203,0)))</f>
        <v>SERVIÇOS CONTRATADOS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2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hidden="1" x14ac:dyDescent="0.2">
      <c r="A204" s="9" t="str">
        <f t="shared" ca="1" si="10"/>
        <v>14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3</v>
      </c>
      <c r="N204" s="212" t="str">
        <f ca="1">IF($D204&lt;&gt;"Serviço","",IF(AUTOEVENTO="Manual",IF($A204=0,"&lt;-- defina o número do agrupador",OFFSET(EVENTOS!$D$14,$A204,0)),OFFSET($F$15,$A204,0)))</f>
        <v>SERVIÇOS CONTRATADOS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2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hidden="1" x14ac:dyDescent="0.2">
      <c r="A205" s="9" t="str">
        <f t="shared" ca="1" si="10"/>
        <v>14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3</v>
      </c>
      <c r="N205" s="212" t="str">
        <f ca="1">IF($D205&lt;&gt;"Serviço","",IF(AUTOEVENTO="Manual",IF($A205=0,"&lt;-- defina o número do agrupador",OFFSET(EVENTOS!$D$14,$A205,0)),OFFSET($F$15,$A205,0)))</f>
        <v>SERVIÇOS CONTRATADOS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2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hidden="1" x14ac:dyDescent="0.2">
      <c r="A206" s="9" t="str">
        <f t="shared" ca="1" si="10"/>
        <v>14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3</v>
      </c>
      <c r="N206" s="212" t="str">
        <f ca="1">IF($D206&lt;&gt;"Serviço","",IF(AUTOEVENTO="Manual",IF($A206=0,"&lt;-- defina o número do agrupador",OFFSET(EVENTOS!$D$14,$A206,0)),OFFSET($F$15,$A206,0)))</f>
        <v>SERVIÇOS CONTRATADOS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2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hidden="1" x14ac:dyDescent="0.2">
      <c r="A207" s="9" t="str">
        <f t="shared" ca="1" si="10"/>
        <v>14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3</v>
      </c>
      <c r="N207" s="212" t="str">
        <f ca="1">IF($D207&lt;&gt;"Serviço","",IF(AUTOEVENTO="Manual",IF($A207=0,"&lt;-- defina o número do agrupador",OFFSET(EVENTOS!$D$14,$A207,0)),OFFSET($F$15,$A207,0)))</f>
        <v>SERVIÇOS CONTRATADOS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2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hidden="1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14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3</v>
      </c>
      <c r="N208" s="212" t="str">
        <f ca="1">IF($D208&lt;&gt;"Serviço","",IF(AUTOEVENTO="Manual",IF($A208=0,"&lt;-- defina o número do agrupador",OFFSET(EVENTOS!$D$14,$A208,0)),OFFSET($F$15,$A208,0)))</f>
        <v>SERVIÇOS CONTRATADOS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2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hidden="1" x14ac:dyDescent="0.2">
      <c r="A209" s="9" t="str">
        <f t="shared" ca="1" si="11"/>
        <v>14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3</v>
      </c>
      <c r="N209" s="212" t="str">
        <f ca="1">IF($D209&lt;&gt;"Serviço","",IF(AUTOEVENTO="Manual",IF($A209=0,"&lt;-- defina o número do agrupador",OFFSET(EVENTOS!$D$14,$A209,0)),OFFSET($F$15,$A209,0)))</f>
        <v>SERVIÇOS CONTRATADOS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2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hidden="1" x14ac:dyDescent="0.2">
      <c r="A210" s="9" t="str">
        <f t="shared" ca="1" si="11"/>
        <v>14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3</v>
      </c>
      <c r="N210" s="212" t="str">
        <f ca="1">IF($D210&lt;&gt;"Serviço","",IF(AUTOEVENTO="Manual",IF($A210=0,"&lt;-- defina o número do agrupador",OFFSET(EVENTOS!$D$14,$A210,0)),OFFSET($F$15,$A210,0)))</f>
        <v>SERVIÇOS CONTRATADOS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2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hidden="1" x14ac:dyDescent="0.2">
      <c r="A211" s="9" t="str">
        <f t="shared" ca="1" si="11"/>
        <v>14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3</v>
      </c>
      <c r="N211" s="212" t="str">
        <f ca="1">IF($D211&lt;&gt;"Serviço","",IF(AUTOEVENTO="Manual",IF($A211=0,"&lt;-- defina o número do agrupador",OFFSET(EVENTOS!$D$14,$A211,0)),OFFSET($F$15,$A211,0)))</f>
        <v>SERVIÇOS CONTRATADOS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2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hidden="1" x14ac:dyDescent="0.2">
      <c r="A212" s="9" t="str">
        <f t="shared" ca="1" si="11"/>
        <v>14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3</v>
      </c>
      <c r="N212" s="212" t="str">
        <f ca="1">IF($D212&lt;&gt;"Serviço","",IF(AUTOEVENTO="Manual",IF($A212=0,"&lt;-- defina o número do agrupador",OFFSET(EVENTOS!$D$14,$A212,0)),OFFSET($F$15,$A212,0)))</f>
        <v>SERVIÇOS CONTRATADOS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2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hidden="1" x14ac:dyDescent="0.2">
      <c r="A213" s="9" t="str">
        <f t="shared" ca="1" si="11"/>
        <v>14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3</v>
      </c>
      <c r="N213" s="212" t="str">
        <f ca="1">IF($D213&lt;&gt;"Serviço","",IF(AUTOEVENTO="Manual",IF($A213=0,"&lt;-- defina o número do agrupador",OFFSET(EVENTOS!$D$14,$A213,0)),OFFSET($F$15,$A213,0)))</f>
        <v>SERVIÇOS CONTRATADOS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2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hidden="1" x14ac:dyDescent="0.2">
      <c r="A214" s="9" t="str">
        <f t="shared" ca="1" si="11"/>
        <v>14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3</v>
      </c>
      <c r="N214" s="212" t="str">
        <f ca="1">IF($D214&lt;&gt;"Serviço","",IF(AUTOEVENTO="Manual",IF($A214=0,"&lt;-- defina o número do agrupador",OFFSET(EVENTOS!$D$14,$A214,0)),OFFSET($F$15,$A214,0)))</f>
        <v>SERVIÇOS CONTRATADOS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2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hidden="1" x14ac:dyDescent="0.2">
      <c r="A215" s="9" t="str">
        <f t="shared" ca="1" si="11"/>
        <v>14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3</v>
      </c>
      <c r="N215" s="212" t="str">
        <f ca="1">IF($D215&lt;&gt;"Serviço","",IF(AUTOEVENTO="Manual",IF($A215=0,"&lt;-- defina o número do agrupador",OFFSET(EVENTOS!$D$14,$A215,0)),OFFSET($F$15,$A215,0)))</f>
        <v>SERVIÇOS CONTRATADOS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2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hidden="1" x14ac:dyDescent="0.2">
      <c r="A216" s="9" t="str">
        <f t="shared" ca="1" si="11"/>
        <v>14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3</v>
      </c>
      <c r="N216" s="212" t="str">
        <f ca="1">IF($D216&lt;&gt;"Serviço","",IF(AUTOEVENTO="Manual",IF($A216=0,"&lt;-- defina o número do agrupador",OFFSET(EVENTOS!$D$14,$A216,0)),OFFSET($F$15,$A216,0)))</f>
        <v>SERVIÇOS CONTRATADOS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2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hidden="1" x14ac:dyDescent="0.2">
      <c r="A217" s="9" t="str">
        <f t="shared" ca="1" si="11"/>
        <v>14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3</v>
      </c>
      <c r="N217" s="212" t="str">
        <f ca="1">IF($D217&lt;&gt;"Serviço","",IF(AUTOEVENTO="Manual",IF($A217=0,"&lt;-- defina o número do agrupador",OFFSET(EVENTOS!$D$14,$A217,0)),OFFSET($F$15,$A217,0)))</f>
        <v>SERVIÇOS CONTRATADOS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2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hidden="1" x14ac:dyDescent="0.2">
      <c r="A218" s="9" t="str">
        <f t="shared" ca="1" si="11"/>
        <v>14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3</v>
      </c>
      <c r="N218" s="212" t="str">
        <f ca="1">IF($D218&lt;&gt;"Serviço","",IF(AUTOEVENTO="Manual",IF($A218=0,"&lt;-- defina o número do agrupador",OFFSET(EVENTOS!$D$14,$A218,0)),OFFSET($F$15,$A218,0)))</f>
        <v>SERVIÇOS CONTRATADOS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2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hidden="1" x14ac:dyDescent="0.2">
      <c r="A219" s="9" t="str">
        <f t="shared" ca="1" si="11"/>
        <v>14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3</v>
      </c>
      <c r="N219" s="212" t="str">
        <f ca="1">IF($D219&lt;&gt;"Serviço","",IF(AUTOEVENTO="Manual",IF($A219=0,"&lt;-- defina o número do agrupador",OFFSET(EVENTOS!$D$14,$A219,0)),OFFSET($F$15,$A219,0)))</f>
        <v>SERVIÇOS CONTRATADOS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2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hidden="1" x14ac:dyDescent="0.2">
      <c r="A220" s="9" t="str">
        <f t="shared" ca="1" si="11"/>
        <v>14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3</v>
      </c>
      <c r="N220" s="212" t="str">
        <f ca="1">IF($D220&lt;&gt;"Serviço","",IF(AUTOEVENTO="Manual",IF($A220=0,"&lt;-- defina o número do agrupador",OFFSET(EVENTOS!$D$14,$A220,0)),OFFSET($F$15,$A220,0)))</f>
        <v>SERVIÇOS CONTRATADOS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2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hidden="1" x14ac:dyDescent="0.2">
      <c r="A221" s="9" t="str">
        <f t="shared" ca="1" si="11"/>
        <v>14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3</v>
      </c>
      <c r="N221" s="212" t="str">
        <f ca="1">IF($D221&lt;&gt;"Serviço","",IF(AUTOEVENTO="Manual",IF($A221=0,"&lt;-- defina o número do agrupador",OFFSET(EVENTOS!$D$14,$A221,0)),OFFSET($F$15,$A221,0)))</f>
        <v>SERVIÇOS CONTRATADOS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2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hidden="1" x14ac:dyDescent="0.2">
      <c r="A222" s="9" t="str">
        <f t="shared" ca="1" si="11"/>
        <v>14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3</v>
      </c>
      <c r="N222" s="212" t="str">
        <f ca="1">IF($D222&lt;&gt;"Serviço","",IF(AUTOEVENTO="Manual",IF($A222=0,"&lt;-- defina o número do agrupador",OFFSET(EVENTOS!$D$14,$A222,0)),OFFSET($F$15,$A222,0)))</f>
        <v>SERVIÇOS CONTRATADOS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2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hidden="1" x14ac:dyDescent="0.2">
      <c r="A223" s="9" t="str">
        <f t="shared" ca="1" si="11"/>
        <v>14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3</v>
      </c>
      <c r="N223" s="212" t="str">
        <f ca="1">IF($D223&lt;&gt;"Serviço","",IF(AUTOEVENTO="Manual",IF($A223=0,"&lt;-- defina o número do agrupador",OFFSET(EVENTOS!$D$14,$A223,0)),OFFSET($F$15,$A223,0)))</f>
        <v>SERVIÇOS CONTRATADOS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2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hidden="1" x14ac:dyDescent="0.2">
      <c r="A224" s="9" t="str">
        <f t="shared" ca="1" si="11"/>
        <v>14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3</v>
      </c>
      <c r="N224" s="212" t="str">
        <f ca="1">IF($D224&lt;&gt;"Serviço","",IF(AUTOEVENTO="Manual",IF($A224=0,"&lt;-- defina o número do agrupador",OFFSET(EVENTOS!$D$14,$A224,0)),OFFSET($F$15,$A224,0)))</f>
        <v>SERVIÇOS CONTRATADOS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2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hidden="1" x14ac:dyDescent="0.2">
      <c r="A225" s="9" t="str">
        <f t="shared" ca="1" si="11"/>
        <v>14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3</v>
      </c>
      <c r="N225" s="212" t="str">
        <f ca="1">IF($D225&lt;&gt;"Serviço","",IF(AUTOEVENTO="Manual",IF($A225=0,"&lt;-- defina o número do agrupador",OFFSET(EVENTOS!$D$14,$A225,0)),OFFSET($F$15,$A225,0)))</f>
        <v>SERVIÇOS CONTRATADOS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2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hidden="1" x14ac:dyDescent="0.2">
      <c r="A226" s="9" t="str">
        <f t="shared" ca="1" si="11"/>
        <v>14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3</v>
      </c>
      <c r="N226" s="212" t="str">
        <f ca="1">IF($D226&lt;&gt;"Serviço","",IF(AUTOEVENTO="Manual",IF($A226=0,"&lt;-- defina o número do agrupador",OFFSET(EVENTOS!$D$14,$A226,0)),OFFSET($F$15,$A226,0)))</f>
        <v>SERVIÇOS CONTRATADOS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2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hidden="1" x14ac:dyDescent="0.2">
      <c r="A227" s="9" t="str">
        <f t="shared" ca="1" si="11"/>
        <v>14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3</v>
      </c>
      <c r="N227" s="212" t="str">
        <f ca="1">IF($D227&lt;&gt;"Serviço","",IF(AUTOEVENTO="Manual",IF($A227=0,"&lt;-- defina o número do agrupador",OFFSET(EVENTOS!$D$14,$A227,0)),OFFSET($F$15,$A227,0)))</f>
        <v>SERVIÇOS CONTRATADOS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2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hidden="1" x14ac:dyDescent="0.2">
      <c r="A228" s="9" t="str">
        <f t="shared" ca="1" si="11"/>
        <v>14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3</v>
      </c>
      <c r="N228" s="212" t="str">
        <f ca="1">IF($D228&lt;&gt;"Serviço","",IF(AUTOEVENTO="Manual",IF($A228=0,"&lt;-- defina o número do agrupador",OFFSET(EVENTOS!$D$14,$A228,0)),OFFSET($F$15,$A228,0)))</f>
        <v>SERVIÇOS CONTRATADOS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2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hidden="1" x14ac:dyDescent="0.2">
      <c r="A229" s="9" t="str">
        <f t="shared" ca="1" si="11"/>
        <v>14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3</v>
      </c>
      <c r="N229" s="212" t="str">
        <f ca="1">IF($D229&lt;&gt;"Serviço","",IF(AUTOEVENTO="Manual",IF($A229=0,"&lt;-- defina o número do agrupador",OFFSET(EVENTOS!$D$14,$A229,0)),OFFSET($F$15,$A229,0)))</f>
        <v>SERVIÇOS CONTRATADOS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2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hidden="1" x14ac:dyDescent="0.2">
      <c r="A230" s="9" t="str">
        <f t="shared" ca="1" si="11"/>
        <v>14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3</v>
      </c>
      <c r="N230" s="212" t="str">
        <f ca="1">IF($D230&lt;&gt;"Serviço","",IF(AUTOEVENTO="Manual",IF($A230=0,"&lt;-- defina o número do agrupador",OFFSET(EVENTOS!$D$14,$A230,0)),OFFSET($F$15,$A230,0)))</f>
        <v>SERVIÇOS CONTRATADOS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2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hidden="1" x14ac:dyDescent="0.2">
      <c r="A231" s="9" t="str">
        <f t="shared" ca="1" si="11"/>
        <v>14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3</v>
      </c>
      <c r="N231" s="212" t="str">
        <f ca="1">IF($D231&lt;&gt;"Serviço","",IF(AUTOEVENTO="Manual",IF($A231=0,"&lt;-- defina o número do agrupador",OFFSET(EVENTOS!$D$14,$A231,0)),OFFSET($F$15,$A231,0)))</f>
        <v>SERVIÇOS CONTRATADOS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2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hidden="1" x14ac:dyDescent="0.2">
      <c r="A232" s="9" t="str">
        <f t="shared" ca="1" si="11"/>
        <v>14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3</v>
      </c>
      <c r="N232" s="212" t="str">
        <f ca="1">IF($D232&lt;&gt;"Serviço","",IF(AUTOEVENTO="Manual",IF($A232=0,"&lt;-- defina o número do agrupador",OFFSET(EVENTOS!$D$14,$A232,0)),OFFSET($F$15,$A232,0)))</f>
        <v>SERVIÇOS CONTRATADOS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2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hidden="1" x14ac:dyDescent="0.2">
      <c r="A233" s="9" t="str">
        <f t="shared" ca="1" si="11"/>
        <v>14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3</v>
      </c>
      <c r="N233" s="212" t="str">
        <f ca="1">IF($D233&lt;&gt;"Serviço","",IF(AUTOEVENTO="Manual",IF($A233=0,"&lt;-- defina o número do agrupador",OFFSET(EVENTOS!$D$14,$A233,0)),OFFSET($F$15,$A233,0)))</f>
        <v>SERVIÇOS CONTRATADOS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2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hidden="1" x14ac:dyDescent="0.2">
      <c r="A234" s="9" t="str">
        <f t="shared" ca="1" si="11"/>
        <v>14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3</v>
      </c>
      <c r="N234" s="212" t="str">
        <f ca="1">IF($D234&lt;&gt;"Serviço","",IF(AUTOEVENTO="Manual",IF($A234=0,"&lt;-- defina o número do agrupador",OFFSET(EVENTOS!$D$14,$A234,0)),OFFSET($F$15,$A234,0)))</f>
        <v>SERVIÇOS CONTRATADOS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2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hidden="1" x14ac:dyDescent="0.2">
      <c r="A235" s="9" t="str">
        <f t="shared" ca="1" si="11"/>
        <v>14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3</v>
      </c>
      <c r="N235" s="212" t="str">
        <f ca="1">IF($D235&lt;&gt;"Serviço","",IF(AUTOEVENTO="Manual",IF($A235=0,"&lt;-- defina o número do agrupador",OFFSET(EVENTOS!$D$14,$A235,0)),OFFSET($F$15,$A235,0)))</f>
        <v>SERVIÇOS CONTRATADOS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2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hidden="1" x14ac:dyDescent="0.2">
      <c r="A236" s="9" t="str">
        <f t="shared" ca="1" si="11"/>
        <v>14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3</v>
      </c>
      <c r="N236" s="212" t="str">
        <f ca="1">IF($D236&lt;&gt;"Serviço","",IF(AUTOEVENTO="Manual",IF($A236=0,"&lt;-- defina o número do agrupador",OFFSET(EVENTOS!$D$14,$A236,0)),OFFSET($F$15,$A236,0)))</f>
        <v>SERVIÇOS CONTRATADOS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2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hidden="1" x14ac:dyDescent="0.2">
      <c r="A237" s="9" t="str">
        <f t="shared" ca="1" si="11"/>
        <v>14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3</v>
      </c>
      <c r="N237" s="212" t="str">
        <f ca="1">IF($D237&lt;&gt;"Serviço","",IF(AUTOEVENTO="Manual",IF($A237=0,"&lt;-- defina o número do agrupador",OFFSET(EVENTOS!$D$14,$A237,0)),OFFSET($F$15,$A237,0)))</f>
        <v>SERVIÇOS CONTRATADOS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2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hidden="1" x14ac:dyDescent="0.2">
      <c r="A238" s="9" t="str">
        <f t="shared" ca="1" si="11"/>
        <v>14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3</v>
      </c>
      <c r="N238" s="212" t="str">
        <f ca="1">IF($D238&lt;&gt;"Serviço","",IF(AUTOEVENTO="Manual",IF($A238=0,"&lt;-- defina o número do agrupador",OFFSET(EVENTOS!$D$14,$A238,0)),OFFSET($F$15,$A238,0)))</f>
        <v>SERVIÇOS CONTRATADOS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2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hidden="1" x14ac:dyDescent="0.2">
      <c r="A239" s="9" t="str">
        <f t="shared" ca="1" si="11"/>
        <v>14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3</v>
      </c>
      <c r="N239" s="212" t="str">
        <f ca="1">IF($D239&lt;&gt;"Serviço","",IF(AUTOEVENTO="Manual",IF($A239=0,"&lt;-- defina o número do agrupador",OFFSET(EVENTOS!$D$14,$A239,0)),OFFSET($F$15,$A239,0)))</f>
        <v>SERVIÇOS CONTRATADOS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2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hidden="1" x14ac:dyDescent="0.2">
      <c r="A240" s="9" t="str">
        <f t="shared" ca="1" si="11"/>
        <v>14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3</v>
      </c>
      <c r="N240" s="212" t="str">
        <f ca="1">IF($D240&lt;&gt;"Serviço","",IF(AUTOEVENTO="Manual",IF($A240=0,"&lt;-- defina o número do agrupador",OFFSET(EVENTOS!$D$14,$A240,0)),OFFSET($F$15,$A240,0)))</f>
        <v>SERVIÇOS CONTRATADOS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2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hidden="1" x14ac:dyDescent="0.2">
      <c r="A241" s="9" t="str">
        <f t="shared" ca="1" si="11"/>
        <v>14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3</v>
      </c>
      <c r="N241" s="212" t="str">
        <f ca="1">IF($D241&lt;&gt;"Serviço","",IF(AUTOEVENTO="Manual",IF($A241=0,"&lt;-- defina o número do agrupador",OFFSET(EVENTOS!$D$14,$A241,0)),OFFSET($F$15,$A241,0)))</f>
        <v>SERVIÇOS CONTRATADOS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2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hidden="1" x14ac:dyDescent="0.2">
      <c r="A242" s="9" t="str">
        <f t="shared" ca="1" si="11"/>
        <v>14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3</v>
      </c>
      <c r="N242" s="212" t="str">
        <f ca="1">IF($D242&lt;&gt;"Serviço","",IF(AUTOEVENTO="Manual",IF($A242=0,"&lt;-- defina o número do agrupador",OFFSET(EVENTOS!$D$14,$A242,0)),OFFSET($F$15,$A242,0)))</f>
        <v>SERVIÇOS CONTRATADOS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2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hidden="1" x14ac:dyDescent="0.2">
      <c r="A243" s="9" t="str">
        <f t="shared" ca="1" si="11"/>
        <v>14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3</v>
      </c>
      <c r="N243" s="212" t="str">
        <f ca="1">IF($D243&lt;&gt;"Serviço","",IF(AUTOEVENTO="Manual",IF($A243=0,"&lt;-- defina o número do agrupador",OFFSET(EVENTOS!$D$14,$A243,0)),OFFSET($F$15,$A243,0)))</f>
        <v>SERVIÇOS CONTRATADOS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2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hidden="1" x14ac:dyDescent="0.2">
      <c r="A244" s="9" t="str">
        <f t="shared" ca="1" si="11"/>
        <v>14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3</v>
      </c>
      <c r="N244" s="212" t="str">
        <f ca="1">IF($D244&lt;&gt;"Serviço","",IF(AUTOEVENTO="Manual",IF($A244=0,"&lt;-- defina o número do agrupador",OFFSET(EVENTOS!$D$14,$A244,0)),OFFSET($F$15,$A244,0)))</f>
        <v>SERVIÇOS CONTRATADOS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2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hidden="1" x14ac:dyDescent="0.2">
      <c r="A245" s="9" t="str">
        <f t="shared" ca="1" si="11"/>
        <v>14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3</v>
      </c>
      <c r="N245" s="212" t="str">
        <f ca="1">IF($D245&lt;&gt;"Serviço","",IF(AUTOEVENTO="Manual",IF($A245=0,"&lt;-- defina o número do agrupador",OFFSET(EVENTOS!$D$14,$A245,0)),OFFSET($F$15,$A245,0)))</f>
        <v>SERVIÇOS CONTRATADOS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2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hidden="1" x14ac:dyDescent="0.2">
      <c r="A246" s="9" t="str">
        <f t="shared" ca="1" si="11"/>
        <v>14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3</v>
      </c>
      <c r="N246" s="212" t="str">
        <f ca="1">IF($D246&lt;&gt;"Serviço","",IF(AUTOEVENTO="Manual",IF($A246=0,"&lt;-- defina o número do agrupador",OFFSET(EVENTOS!$D$14,$A246,0)),OFFSET($F$15,$A246,0)))</f>
        <v>SERVIÇOS CONTRATADOS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2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hidden="1" x14ac:dyDescent="0.2">
      <c r="A247" s="9" t="str">
        <f t="shared" ca="1" si="11"/>
        <v>14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3</v>
      </c>
      <c r="N247" s="212" t="str">
        <f ca="1">IF($D247&lt;&gt;"Serviço","",IF(AUTOEVENTO="Manual",IF($A247=0,"&lt;-- defina o número do agrupador",OFFSET(EVENTOS!$D$14,$A247,0)),OFFSET($F$15,$A247,0)))</f>
        <v>SERVIÇOS CONTRATADOS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2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hidden="1" x14ac:dyDescent="0.2">
      <c r="A248" s="9" t="str">
        <f t="shared" ca="1" si="11"/>
        <v>14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3</v>
      </c>
      <c r="N248" s="212" t="str">
        <f ca="1">IF($D248&lt;&gt;"Serviço","",IF(AUTOEVENTO="Manual",IF($A248=0,"&lt;-- defina o número do agrupador",OFFSET(EVENTOS!$D$14,$A248,0)),OFFSET($F$15,$A248,0)))</f>
        <v>SERVIÇOS CONTRATADOS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2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hidden="1" x14ac:dyDescent="0.2">
      <c r="A249" s="9" t="str">
        <f t="shared" ca="1" si="11"/>
        <v>14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3</v>
      </c>
      <c r="N249" s="212" t="str">
        <f ca="1">IF($D249&lt;&gt;"Serviço","",IF(AUTOEVENTO="Manual",IF($A249=0,"&lt;-- defina o número do agrupador",OFFSET(EVENTOS!$D$14,$A249,0)),OFFSET($F$15,$A249,0)))</f>
        <v>SERVIÇOS CONTRATADOS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2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hidden="1" x14ac:dyDescent="0.2">
      <c r="A250" s="9" t="str">
        <f t="shared" ca="1" si="11"/>
        <v>14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3</v>
      </c>
      <c r="N250" s="212" t="str">
        <f ca="1">IF($D250&lt;&gt;"Serviço","",IF(AUTOEVENTO="Manual",IF($A250=0,"&lt;-- defina o número do agrupador",OFFSET(EVENTOS!$D$14,$A250,0)),OFFSET($F$15,$A250,0)))</f>
        <v>SERVIÇOS CONTRATADOS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2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hidden="1" x14ac:dyDescent="0.2">
      <c r="A251" s="9" t="str">
        <f t="shared" ca="1" si="11"/>
        <v>14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3</v>
      </c>
      <c r="N251" s="212" t="str">
        <f ca="1">IF($D251&lt;&gt;"Serviço","",IF(AUTOEVENTO="Manual",IF($A251=0,"&lt;-- defina o número do agrupador",OFFSET(EVENTOS!$D$14,$A251,0)),OFFSET($F$15,$A251,0)))</f>
        <v>SERVIÇOS CONTRATADOS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2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hidden="1" x14ac:dyDescent="0.2">
      <c r="A252" s="9" t="str">
        <f t="shared" ca="1" si="11"/>
        <v>14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3</v>
      </c>
      <c r="N252" s="212" t="str">
        <f ca="1">IF($D252&lt;&gt;"Serviço","",IF(AUTOEVENTO="Manual",IF($A252=0,"&lt;-- defina o número do agrupador",OFFSET(EVENTOS!$D$14,$A252,0)),OFFSET($F$15,$A252,0)))</f>
        <v>SERVIÇOS CONTRATADOS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2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hidden="1" x14ac:dyDescent="0.2">
      <c r="A253" s="9" t="str">
        <f t="shared" ca="1" si="11"/>
        <v>14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3</v>
      </c>
      <c r="N253" s="212" t="str">
        <f ca="1">IF($D253&lt;&gt;"Serviço","",IF(AUTOEVENTO="Manual",IF($A253=0,"&lt;-- defina o número do agrupador",OFFSET(EVENTOS!$D$14,$A253,0)),OFFSET($F$15,$A253,0)))</f>
        <v>SERVIÇOS CONTRATADOS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2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hidden="1" x14ac:dyDescent="0.2">
      <c r="A254" s="9" t="str">
        <f t="shared" ca="1" si="11"/>
        <v>14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3</v>
      </c>
      <c r="N254" s="212" t="str">
        <f ca="1">IF($D254&lt;&gt;"Serviço","",IF(AUTOEVENTO="Manual",IF($A254=0,"&lt;-- defina o número do agrupador",OFFSET(EVENTOS!$D$14,$A254,0)),OFFSET($F$15,$A254,0)))</f>
        <v>SERVIÇOS CONTRATADOS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2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hidden="1" x14ac:dyDescent="0.2">
      <c r="A255" s="9" t="str">
        <f t="shared" ca="1" si="11"/>
        <v>14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3</v>
      </c>
      <c r="N255" s="212" t="str">
        <f ca="1">IF($D255&lt;&gt;"Serviço","",IF(AUTOEVENTO="Manual",IF($A255=0,"&lt;-- defina o número do agrupador",OFFSET(EVENTOS!$D$14,$A255,0)),OFFSET($F$15,$A255,0)))</f>
        <v>SERVIÇOS CONTRATADOS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2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hidden="1" x14ac:dyDescent="0.2">
      <c r="A256" s="9" t="str">
        <f t="shared" ca="1" si="11"/>
        <v>14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3</v>
      </c>
      <c r="N256" s="212" t="str">
        <f ca="1">IF($D256&lt;&gt;"Serviço","",IF(AUTOEVENTO="Manual",IF($A256=0,"&lt;-- defina o número do agrupador",OFFSET(EVENTOS!$D$14,$A256,0)),OFFSET($F$15,$A256,0)))</f>
        <v>SERVIÇOS CONTRATADOS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2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hidden="1" x14ac:dyDescent="0.2">
      <c r="A257" s="9" t="str">
        <f t="shared" ca="1" si="11"/>
        <v>14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3</v>
      </c>
      <c r="N257" s="212" t="str">
        <f ca="1">IF($D257&lt;&gt;"Serviço","",IF(AUTOEVENTO="Manual",IF($A257=0,"&lt;-- defina o número do agrupador",OFFSET(EVENTOS!$D$14,$A257,0)),OFFSET($F$15,$A257,0)))</f>
        <v>SERVIÇOS CONTRATADOS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2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hidden="1" x14ac:dyDescent="0.2">
      <c r="A258" s="9" t="str">
        <f t="shared" ca="1" si="11"/>
        <v>14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3</v>
      </c>
      <c r="N258" s="212" t="str">
        <f ca="1">IF($D258&lt;&gt;"Serviço","",IF(AUTOEVENTO="Manual",IF($A258=0,"&lt;-- defina o número do agrupador",OFFSET(EVENTOS!$D$14,$A258,0)),OFFSET($F$15,$A258,0)))</f>
        <v>SERVIÇOS CONTRATADOS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2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hidden="1" x14ac:dyDescent="0.2">
      <c r="A259" s="9" t="str">
        <f t="shared" ca="1" si="11"/>
        <v>14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3</v>
      </c>
      <c r="N259" s="212" t="str">
        <f ca="1">IF($D259&lt;&gt;"Serviço","",IF(AUTOEVENTO="Manual",IF($A259=0,"&lt;-- defina o número do agrupador",OFFSET(EVENTOS!$D$14,$A259,0)),OFFSET($F$15,$A259,0)))</f>
        <v>SERVIÇOS CONTRATADOS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2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hidden="1" x14ac:dyDescent="0.2">
      <c r="A260" s="9" t="str">
        <f t="shared" ca="1" si="11"/>
        <v>14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3</v>
      </c>
      <c r="N260" s="212" t="str">
        <f ca="1">IF($D260&lt;&gt;"Serviço","",IF(AUTOEVENTO="Manual",IF($A260=0,"&lt;-- defina o número do agrupador",OFFSET(EVENTOS!$D$14,$A260,0)),OFFSET($F$15,$A260,0)))</f>
        <v>SERVIÇOS CONTRATADOS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2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hidden="1" x14ac:dyDescent="0.2">
      <c r="A261" s="9" t="str">
        <f t="shared" ca="1" si="11"/>
        <v>14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3</v>
      </c>
      <c r="N261" s="212" t="str">
        <f ca="1">IF($D261&lt;&gt;"Serviço","",IF(AUTOEVENTO="Manual",IF($A261=0,"&lt;-- defina o número do agrupador",OFFSET(EVENTOS!$D$14,$A261,0)),OFFSET($F$15,$A261,0)))</f>
        <v>SERVIÇOS CONTRATADOS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2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hidden="1" x14ac:dyDescent="0.2">
      <c r="A262" s="9" t="str">
        <f t="shared" ca="1" si="11"/>
        <v>14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3</v>
      </c>
      <c r="N262" s="212" t="str">
        <f ca="1">IF($D262&lt;&gt;"Serviço","",IF(AUTOEVENTO="Manual",IF($A262=0,"&lt;-- defina o número do agrupador",OFFSET(EVENTOS!$D$14,$A262,0)),OFFSET($F$15,$A262,0)))</f>
        <v>SERVIÇOS CONTRATADOS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2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hidden="1" x14ac:dyDescent="0.2">
      <c r="A263" s="9" t="str">
        <f t="shared" ca="1" si="11"/>
        <v>14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3</v>
      </c>
      <c r="N263" s="212" t="str">
        <f ca="1">IF($D263&lt;&gt;"Serviço","",IF(AUTOEVENTO="Manual",IF($A263=0,"&lt;-- defina o número do agrupador",OFFSET(EVENTOS!$D$14,$A263,0)),OFFSET($F$15,$A263,0)))</f>
        <v>SERVIÇOS CONTRATADOS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2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hidden="1" x14ac:dyDescent="0.2">
      <c r="A264" s="9" t="str">
        <f t="shared" ca="1" si="11"/>
        <v>14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3</v>
      </c>
      <c r="N264" s="212" t="str">
        <f ca="1">IF($D264&lt;&gt;"Serviço","",IF(AUTOEVENTO="Manual",IF($A264=0,"&lt;-- defina o número do agrupador",OFFSET(EVENTOS!$D$14,$A264,0)),OFFSET($F$15,$A264,0)))</f>
        <v>SERVIÇOS CONTRATADOS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2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hidden="1" x14ac:dyDescent="0.2">
      <c r="A265" s="9" t="str">
        <f t="shared" ca="1" si="11"/>
        <v>14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3</v>
      </c>
      <c r="N265" s="212" t="str">
        <f ca="1">IF($D265&lt;&gt;"Serviço","",IF(AUTOEVENTO="Manual",IF($A265=0,"&lt;-- defina o número do agrupador",OFFSET(EVENTOS!$D$14,$A265,0)),OFFSET($F$15,$A265,0)))</f>
        <v>SERVIÇOS CONTRATADOS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2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CÉU AZUL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GUSTAVO FRANCESCHINI</v>
      </c>
      <c r="K272" s="97"/>
      <c r="L272" s="97"/>
      <c r="T272" s="604" t="str">
        <f t="array" aca="1" ref="T272:T274" ca="1">OFFSET(Import.RespOrçamento,0,-1) &amp; " " &amp; Import.RespOrçamento</f>
        <v>Nome: GUSTAVO FRANCESCHINI</v>
      </c>
      <c r="U272" s="96"/>
    </row>
    <row r="273" spans="3:21" ht="12.75" customHeight="1" x14ac:dyDescent="0.2">
      <c r="F273" s="601">
        <f>DADOS!$F$25</f>
        <v>45012</v>
      </c>
      <c r="I273" s="604" t="str">
        <f ca="1"/>
        <v>CREA/CAU: 126178/D</v>
      </c>
      <c r="K273" s="97"/>
      <c r="L273" s="97"/>
      <c r="T273" s="604" t="str">
        <f ca="1"/>
        <v>CREA/CAU: 126178/D</v>
      </c>
      <c r="U273" s="96"/>
    </row>
    <row r="274" spans="3:21" ht="12.75" customHeight="1" x14ac:dyDescent="0.2">
      <c r="F274" s="178" t="s">
        <v>188</v>
      </c>
      <c r="I274" s="604" t="str">
        <f ca="1"/>
        <v>ART/RRT: 1720231313229</v>
      </c>
      <c r="K274" s="97"/>
      <c r="L274" s="97"/>
      <c r="T274" s="604" t="str">
        <f ca="1"/>
        <v>ART/RRT: 1720231313229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>
    <filterColumn colId="0">
      <customFilters>
        <customFilter operator="notEqual" val=" "/>
      </customFilters>
    </filterColumn>
  </autoFilter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/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G12" sqref="G12:G13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7" t="s">
        <v>139</v>
      </c>
      <c r="AE4" s="687"/>
    </row>
    <row r="5" spans="1:32" ht="15" x14ac:dyDescent="0.2">
      <c r="R5" s="107" t="str">
        <f>import.recurso</f>
        <v>(SELECIONAR)</v>
      </c>
      <c r="AD5" s="688" t="s">
        <v>142</v>
      </c>
      <c r="AE5" s="688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2" t="s">
        <v>270</v>
      </c>
      <c r="H7" s="268" t="s">
        <v>440</v>
      </c>
      <c r="I7" s="269"/>
      <c r="J7" s="270" t="s">
        <v>441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6" t="s">
        <v>208</v>
      </c>
      <c r="G8" s="722"/>
      <c r="H8" s="720">
        <f>Import.CR</f>
        <v>0</v>
      </c>
      <c r="I8" s="720"/>
      <c r="J8" s="274">
        <f>Import.SICONV</f>
        <v>0</v>
      </c>
      <c r="K8" s="719" t="str">
        <f>Import.Proponente</f>
        <v>MUNICÍPIO DE CÉU AZUL</v>
      </c>
      <c r="L8" s="719"/>
      <c r="M8" s="719"/>
      <c r="N8" s="719"/>
      <c r="O8" s="719"/>
      <c r="P8" s="719"/>
      <c r="Q8" s="719"/>
      <c r="R8" s="719"/>
      <c r="S8" s="719"/>
      <c r="T8" s="720" t="str">
        <f>Import.Apelido</f>
        <v>EXECUÇÃO DE BASES PARA INSTALAÇÃO DE PARQUE ADAPTADO E ACADEMIA AO AR LIVRE</v>
      </c>
      <c r="U8" s="720"/>
      <c r="V8" s="720"/>
      <c r="W8" s="720"/>
      <c r="X8" s="720"/>
      <c r="Y8" s="716" t="str">
        <f>IF(TIPOORCAMENTO="Licitado",Import.empresa,Import.DescLote)</f>
        <v>BASE EM CONCRETO ARMADO</v>
      </c>
      <c r="Z8" s="716"/>
      <c r="AA8" s="716"/>
      <c r="AB8" s="716"/>
      <c r="AC8" s="716"/>
      <c r="AD8" s="716"/>
      <c r="AE8" s="275" t="str">
        <f>IF(TIPOORCAMENTO="Licitado",Import.CTEF,"")</f>
        <v/>
      </c>
    </row>
    <row r="9" spans="1:32" x14ac:dyDescent="0.2">
      <c r="E9" s="144"/>
      <c r="F9" s="676"/>
      <c r="G9" s="722"/>
    </row>
    <row r="10" spans="1:32" x14ac:dyDescent="0.2">
      <c r="E10" s="267"/>
      <c r="F10" s="676"/>
      <c r="G10" s="276">
        <v>1</v>
      </c>
      <c r="J10" s="721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1"/>
      <c r="L10" s="721"/>
      <c r="M10" s="721"/>
      <c r="N10" s="721"/>
      <c r="O10" s="721"/>
      <c r="P10" s="721"/>
      <c r="Q10" s="721"/>
      <c r="R10" s="721"/>
      <c r="S10" s="721"/>
    </row>
    <row r="11" spans="1:32" ht="12.75" customHeight="1" x14ac:dyDescent="0.2">
      <c r="F11" s="676"/>
      <c r="H11" s="277"/>
      <c r="I11" s="277"/>
      <c r="J11" s="721"/>
      <c r="K11" s="721"/>
      <c r="L11" s="721"/>
      <c r="M11" s="721"/>
      <c r="N11" s="721"/>
      <c r="O11" s="721"/>
      <c r="P11" s="721"/>
      <c r="Q11" s="721"/>
      <c r="R11" s="721"/>
      <c r="S11" s="721"/>
    </row>
    <row r="12" spans="1:32" ht="12.75" customHeight="1" x14ac:dyDescent="0.2">
      <c r="D12" s="278">
        <f ca="1">OFFSET(D12,0,-1)+1</f>
        <v>1</v>
      </c>
      <c r="F12" s="136" t="s">
        <v>216</v>
      </c>
      <c r="G12" s="724" t="s">
        <v>273</v>
      </c>
      <c r="H12" s="725" t="s">
        <v>230</v>
      </c>
      <c r="I12" s="726" t="s">
        <v>233</v>
      </c>
      <c r="J12" s="279"/>
      <c r="K12" s="279"/>
      <c r="L12" s="280"/>
      <c r="M12" s="280"/>
      <c r="N12" s="280"/>
      <c r="O12" s="280"/>
      <c r="P12" s="280"/>
      <c r="Q12" s="280"/>
      <c r="R12" s="717" t="s">
        <v>274</v>
      </c>
      <c r="S12" s="718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4"/>
      <c r="H13" s="725"/>
      <c r="I13" s="726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7"/>
      <c r="S13" s="718"/>
      <c r="T13" s="288">
        <v>45017</v>
      </c>
      <c r="U13" s="284">
        <f ca="1">OFFSET(U13,0,-1)+41-DAY(OFFSET(U13,0,-1)+40)</f>
        <v>45047</v>
      </c>
      <c r="V13" s="284">
        <f ca="1">OFFSET(V13,0,-1)+41-DAY(OFFSET(V13,0,-1)+40)</f>
        <v>45078</v>
      </c>
      <c r="W13" s="284">
        <f t="shared" ref="W13:AE13" ca="1" si="2">OFFSET(W13,0,-1)+41-DAY(OFFSET(W13,0,-1)+40)</f>
        <v>45108</v>
      </c>
      <c r="X13" s="284">
        <f t="shared" ca="1" si="2"/>
        <v>45139</v>
      </c>
      <c r="Y13" s="284">
        <f t="shared" ca="1" si="2"/>
        <v>45170</v>
      </c>
      <c r="Z13" s="284">
        <f t="shared" ca="1" si="2"/>
        <v>45200</v>
      </c>
      <c r="AA13" s="284">
        <f t="shared" ca="1" si="2"/>
        <v>45231</v>
      </c>
      <c r="AB13" s="284">
        <f t="shared" ca="1" si="2"/>
        <v>45261</v>
      </c>
      <c r="AC13" s="284">
        <f t="shared" ca="1" si="2"/>
        <v>45292</v>
      </c>
      <c r="AD13" s="284">
        <f t="shared" ca="1" si="2"/>
        <v>45323</v>
      </c>
      <c r="AE13" s="289">
        <f t="shared" ca="1" si="2"/>
        <v>45352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0.99999999999999989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0.99999999999999989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EXECUÇÃO DE BASE EM CONCRETO ARMADO PARA INSTALAÇÃO DE PARQUE ADAPTADO NA PRAÇA DA MATRIZ (DIMENSÃO 10,50 M x 10,00 M E COM e=12 CM)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2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2</v>
      </c>
      <c r="R14" s="248">
        <f ca="1">IF($E15=0,OFFSET(ORÇAMENTO!X$15,$E14,0),IF($E15&lt;&gt;-1,OFFSET(QCI!$O$13,$E15,0),""))</f>
        <v>12491.86</v>
      </c>
      <c r="S14" s="249" t="s">
        <v>269</v>
      </c>
      <c r="T14" s="250">
        <f t="shared" ref="T14:AE14" ca="1" si="3">IF(AND($Q14=2,ACOMPANHAMENTO="BM"),T15,T16/$R14)</f>
        <v>0.99999999999999989</v>
      </c>
      <c r="U14" s="242">
        <f t="shared" ca="1" si="3"/>
        <v>0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>
        <v>1</v>
      </c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12491.859999999999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12491.859999999999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0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13</v>
      </c>
      <c r="F17" s="239" t="str">
        <f ca="1">IF(AND($E18&lt;&gt;-1,$R17&gt;0),"F","")</f>
        <v>F</v>
      </c>
      <c r="G17" s="243" t="str">
        <f ca="1">IF(OR(R17=0,R17=""),"Linha",IF(AND(OR(ACOMPANHAMENTO="PLE",$Q17&lt;&gt;2),$E18=0),"Linha",1-SUM(T17:AF17)))</f>
        <v>Linha</v>
      </c>
      <c r="H17" s="244" t="str">
        <f ca="1">IF($E18=0,OFFSET(ORÇAMENTO!O$15,$E17,0),IF($E18&lt;&gt;-1,OFFSET(QCI!$D$13,$E18,0),""))</f>
        <v>2.</v>
      </c>
      <c r="I17" s="245" t="str">
        <f ca="1">IF($E18=0,OFFSET(ORÇAMENTO!R$15,$E17,0),IF($E18&lt;&gt;-1,OFFSET(QCI!$G$13,$E18,0),""))</f>
        <v xml:space="preserve">EXECUÇÃO DE BASE EM CONCRETO ARMADO PARA INSTALAÇÃO DE ACADEMIA AO AR LIVRE NA VILA RURAL DE NOVA UNIÃO (DIMENSÃO 8,50 M x 8,00 M E COM e=12 CM)                                                                                </v>
      </c>
      <c r="J17" s="245"/>
      <c r="K17" s="245"/>
      <c r="L17" s="246">
        <f ca="1">IF($E18=0,OFFSET(ORÇAMENTO!C$15,$E17,0),1)</f>
        <v>1</v>
      </c>
      <c r="M17" s="247">
        <f ca="1">IF($E18=-1,0,IF(M$13&lt;=$L17,IF(ISERROR(MATCH(M$13,OFFSET($L17,1,0,ROW($L$164)-ROW($L17)-1),0)),ROW($L$164)-ROW($L17)-1,MATCH(M$13,OFFSET($L17,1,0,ROW($L$164)-ROW($L17)-1),0)-1),0))</f>
        <v>2</v>
      </c>
      <c r="N17" s="247">
        <f ca="1">IF($E18=-1,0,IF(N$13&lt;=$L17,IF(ISERROR(MATCH(N$13,OFFSET($L17,1,0,ROW($L$164)-ROW($L17)-1),0)),ROW($L$164)-ROW($L17)-1,MATCH(N$13,OFFSET($L17,1,0,ROW($L$164)-ROW($L17)-1),0)-1),0))</f>
        <v>0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8471.19</v>
      </c>
      <c r="S17" s="249" t="s">
        <v>269</v>
      </c>
      <c r="T17" s="250">
        <f t="shared" ref="T17:AE17" ca="1" si="4">IF(AND($Q17=2,ACOMPANHAMENTO="BM"),T18,T19/$R17)</f>
        <v>0</v>
      </c>
      <c r="U17" s="242">
        <f t="shared" ca="1" si="4"/>
        <v>1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calculada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0</v>
      </c>
      <c r="U18" s="620">
        <v>1</v>
      </c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1$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0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8471.19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hidden="1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1</v>
      </c>
      <c r="D20" s="242" t="e">
        <f ca="1">IF(AND($Q20=2,ACOMPANHAMENTO="BM"),D21,D22/$R20)</f>
        <v>#DIV/0!</v>
      </c>
      <c r="E20" s="239" t="e">
        <f ca="1">IF(A20&lt;=ORÇAMENTO.MáximoListaCrono,MATCH(A20,ORÇAMENTO.ListaCrono,0),NA())</f>
        <v>#N/A</v>
      </c>
      <c r="F20" s="239" t="str">
        <f ca="1">IF(AND($E21&lt;&gt;-1,$R20&gt;0),"F","")</f>
        <v/>
      </c>
      <c r="G20" s="243" t="str">
        <f ca="1">IF(OR(R20=0,R20=""),"Linha",IF(AND(OR(ACOMPANHAMENTO="PLE",$Q20&lt;&gt;2),$E21=0),"Linha",1-SUM(T20:AF20)))</f>
        <v>Linha</v>
      </c>
      <c r="H20" s="244">
        <f ca="1">IF($E21=0,OFFSET(ORÇAMENTO!O$15,$E20,0),IF($E21&lt;&gt;-1,OFFSET(QCI!$D$13,$E21,0),""))</f>
        <v>3</v>
      </c>
      <c r="I20" s="245" t="str">
        <f ca="1">IF($E21=0,OFFSET(ORÇAMENTO!R$15,$E20,0),IF($E21&lt;&gt;-1,OFFSET(QCI!$G$13,$E21,0),""))</f>
        <v/>
      </c>
      <c r="J20" s="245"/>
      <c r="K20" s="245"/>
      <c r="L20" s="246">
        <f ca="1">IF($E21=0,OFFSET(ORÇAMENTO!C$15,$E20,0),1)</f>
        <v>1</v>
      </c>
      <c r="M20" s="247">
        <f ca="1">IF($E21=-1,0,IF(M$13&lt;=$L20,IF(ISERROR(MATCH(M$13,OFFSET($L20,1,0,ROW($L$164)-ROW($L20)-1),0)),ROW($L$164)-ROW($L20)-1,MATCH(M$13,OFFSET($L20,1,0,ROW($L$164)-ROW($L20)-1),0)-1),0))</f>
        <v>2</v>
      </c>
      <c r="N20" s="247">
        <f ca="1">IF($E21=-1,0,IF(N$13&lt;=$L20,IF(ISERROR(MATCH(N$13,OFFSET($L20,1,0,ROW($L$164)-ROW($L20)-1),0)),ROW($L$164)-ROW($L20)-1,MATCH(N$13,OFFSET($L20,1,0,ROW($L$164)-ROW($L20)-1),0)-1),0))</f>
        <v>0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0</v>
      </c>
      <c r="S20" s="249" t="s">
        <v>269</v>
      </c>
      <c r="T20" s="250" t="e">
        <f t="shared" ref="T20:AE20" ca="1" si="5">IF(AND($Q20=2,ACOMPANHAMENTO="BM"),T21,T22/$R20)</f>
        <v>#DIV/0!</v>
      </c>
      <c r="U20" s="242" t="e">
        <f t="shared" ca="1" si="5"/>
        <v>#DIV/0!</v>
      </c>
      <c r="V20" s="242" t="e">
        <f t="shared" ca="1" si="5"/>
        <v>#DIV/0!</v>
      </c>
      <c r="W20" s="242" t="e">
        <f t="shared" ca="1" si="5"/>
        <v>#DIV/0!</v>
      </c>
      <c r="X20" s="242" t="e">
        <f t="shared" ca="1" si="5"/>
        <v>#DIV/0!</v>
      </c>
      <c r="Y20" s="242" t="e">
        <f t="shared" ca="1" si="5"/>
        <v>#DIV/0!</v>
      </c>
      <c r="Z20" s="242" t="e">
        <f t="shared" ca="1" si="5"/>
        <v>#DIV/0!</v>
      </c>
      <c r="AA20" s="242" t="e">
        <f t="shared" ca="1" si="5"/>
        <v>#DIV/0!</v>
      </c>
      <c r="AB20" s="242" t="e">
        <f t="shared" ca="1" si="5"/>
        <v>#DIV/0!</v>
      </c>
      <c r="AC20" s="242" t="e">
        <f t="shared" ca="1" si="5"/>
        <v>#DIV/0!</v>
      </c>
      <c r="AD20" s="242" t="e">
        <f t="shared" ca="1" si="5"/>
        <v>#DIV/0!</v>
      </c>
      <c r="AE20" s="251" t="e">
        <f t="shared" ca="1" si="5"/>
        <v>#DIV/0!</v>
      </c>
    </row>
    <row r="21" spans="1:32" ht="12.75" hidden="1" customHeight="1" x14ac:dyDescent="0.2">
      <c r="D21" s="620"/>
      <c r="E21" s="239">
        <f ca="1">IF(ISERROR(E20),IF(1+COUNTIF($L$13:OFFSET(L20,-1,0),1)&lt;=MAX(QCI!$D$13:$D$24),1+COUNTIF($L$13:OFFSET(L20,-1,0),1),-1),0)</f>
        <v>3</v>
      </c>
      <c r="F21" s="239" t="str">
        <f ca="1">IF(AND($E21&lt;&gt;-1,$R20&gt;0),"F","")</f>
        <v/>
      </c>
      <c r="G21" s="252" t="str">
        <f ca="1">IF(OR(R20=0,R20=""),"vazia",IF(AND(OR(ACOMPANHAMENTO="PLE",$Q20&lt;&gt;2),$E21=0),"calculada","--&gt;"))</f>
        <v>vazia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1$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0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hidden="1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1</v>
      </c>
      <c r="D23" s="242" t="e">
        <f ca="1">IF(AND($Q23=2,ACOMPANHAMENTO="BM"),D24,D25/$R23)</f>
        <v>#DIV/0!</v>
      </c>
      <c r="E23" s="239" t="e">
        <f ca="1">IF(A23&lt;=ORÇAMENTO.MáximoListaCrono,MATCH(A23,ORÇAMENTO.ListaCrono,0),NA())</f>
        <v>#N/A</v>
      </c>
      <c r="F23" s="239" t="str">
        <f ca="1">IF(AND($E24&lt;&gt;-1,$R23&gt;0),"F","")</f>
        <v/>
      </c>
      <c r="G23" s="243" t="str">
        <f ca="1">IF(OR(R23=0,R23=""),"Linha",IF(AND(OR(ACOMPANHAMENTO="PLE",$Q23&lt;&gt;2),$E24=0),"Linha",1-SUM(T23:AF23)))</f>
        <v>Linha</v>
      </c>
      <c r="H23" s="244">
        <f ca="1">IF($E24=0,OFFSET(ORÇAMENTO!O$15,$E23,0),IF($E24&lt;&gt;-1,OFFSET(QCI!$D$13,$E24,0),""))</f>
        <v>4</v>
      </c>
      <c r="I23" s="245" t="str">
        <f ca="1">IF($E24=0,OFFSET(ORÇAMENTO!R$15,$E23,0),IF($E24&lt;&gt;-1,OFFSET(QCI!$G$13,$E24,0),""))</f>
        <v/>
      </c>
      <c r="J23" s="245"/>
      <c r="K23" s="245"/>
      <c r="L23" s="246">
        <f ca="1">IF($E24=0,OFFSET(ORÇAMENTO!C$15,$E23,0),1)</f>
        <v>1</v>
      </c>
      <c r="M23" s="247">
        <f ca="1">IF($E24=-1,0,IF(M$13&lt;=$L23,IF(ISERROR(MATCH(M$13,OFFSET($L23,1,0,ROW($L$164)-ROW($L23)-1),0)),ROW($L$164)-ROW($L23)-1,MATCH(M$13,OFFSET($L23,1,0,ROW($L$164)-ROW($L23)-1),0)-1),0))</f>
        <v>2</v>
      </c>
      <c r="N23" s="247">
        <f ca="1">IF($E24=-1,0,IF(N$13&lt;=$L23,IF(ISERROR(MATCH(N$13,OFFSET($L23,1,0,ROW($L$164)-ROW($L23)-1),0)),ROW($L$164)-ROW($L23)-1,MATCH(N$13,OFFSET($L23,1,0,ROW($L$164)-ROW($L23)-1),0)-1),0))</f>
        <v>0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0</v>
      </c>
      <c r="S23" s="249" t="s">
        <v>269</v>
      </c>
      <c r="T23" s="250" t="e">
        <f t="shared" ref="T23:AE23" ca="1" si="6">IF(AND($Q23=2,ACOMPANHAMENTO="BM"),T24,T25/$R23)</f>
        <v>#DIV/0!</v>
      </c>
      <c r="U23" s="242" t="e">
        <f t="shared" ca="1" si="6"/>
        <v>#DIV/0!</v>
      </c>
      <c r="V23" s="242" t="e">
        <f t="shared" ca="1" si="6"/>
        <v>#DIV/0!</v>
      </c>
      <c r="W23" s="242" t="e">
        <f t="shared" ca="1" si="6"/>
        <v>#DIV/0!</v>
      </c>
      <c r="X23" s="242" t="e">
        <f t="shared" ca="1" si="6"/>
        <v>#DIV/0!</v>
      </c>
      <c r="Y23" s="242" t="e">
        <f t="shared" ca="1" si="6"/>
        <v>#DIV/0!</v>
      </c>
      <c r="Z23" s="242" t="e">
        <f t="shared" ca="1" si="6"/>
        <v>#DIV/0!</v>
      </c>
      <c r="AA23" s="242" t="e">
        <f t="shared" ca="1" si="6"/>
        <v>#DIV/0!</v>
      </c>
      <c r="AB23" s="242" t="e">
        <f t="shared" ca="1" si="6"/>
        <v>#DIV/0!</v>
      </c>
      <c r="AC23" s="242" t="e">
        <f t="shared" ca="1" si="6"/>
        <v>#DIV/0!</v>
      </c>
      <c r="AD23" s="242" t="e">
        <f t="shared" ca="1" si="6"/>
        <v>#DIV/0!</v>
      </c>
      <c r="AE23" s="251" t="e">
        <f t="shared" ca="1" si="6"/>
        <v>#DIV/0!</v>
      </c>
    </row>
    <row r="24" spans="1:32" ht="12.75" hidden="1" customHeight="1" x14ac:dyDescent="0.2">
      <c r="D24" s="620"/>
      <c r="E24" s="239">
        <f ca="1">IF(ISERROR(E23),IF(1+COUNTIF($L$13:OFFSET(L23,-1,0),1)&lt;=MAX(QCI!$D$13:$D$24),1+COUNTIF($L$13:OFFSET(L23,-1,0),1),-1),0)</f>
        <v>4</v>
      </c>
      <c r="F24" s="239" t="str">
        <f ca="1">IF(AND($E24&lt;&gt;-1,$R23&gt;0),"F","")</f>
        <v/>
      </c>
      <c r="G24" s="252" t="str">
        <f ca="1">IF(OR(R23=0,R23=""),"vazia",IF(AND(OR(ACOMPANHAMENTO="PLE",$Q23&lt;&gt;2),$E24=0),"calculada","--&gt;"))</f>
        <v>vazia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1$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0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hidden="1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1</v>
      </c>
      <c r="D26" s="242" t="e">
        <f ca="1">IF(AND($Q26=2,ACOMPANHAMENTO="BM"),D27,D28/$R26)</f>
        <v>#DIV/0!</v>
      </c>
      <c r="E26" s="239" t="e">
        <f ca="1">IF(A26&lt;=ORÇAMENTO.MáximoListaCrono,MATCH(A26,ORÇAMENTO.ListaCrono,0),NA())</f>
        <v>#N/A</v>
      </c>
      <c r="F26" s="239" t="str">
        <f ca="1">IF(AND($E27&lt;&gt;-1,$R26&gt;0),"F","")</f>
        <v/>
      </c>
      <c r="G26" s="243" t="str">
        <f ca="1">IF(OR(R26=0,R26=""),"Linha",IF(AND(OR(ACOMPANHAMENTO="PLE",$Q26&lt;&gt;2),$E27=0),"Linha",1-SUM(T26:AF26)))</f>
        <v>Linha</v>
      </c>
      <c r="H26" s="244">
        <f ca="1">IF($E27=0,OFFSET(ORÇAMENTO!O$15,$E26,0),IF($E27&lt;&gt;-1,OFFSET(QCI!$D$13,$E27,0),""))</f>
        <v>5</v>
      </c>
      <c r="I26" s="245" t="str">
        <f ca="1">IF($E27=0,OFFSET(ORÇAMENTO!R$15,$E26,0),IF($E27&lt;&gt;-1,OFFSET(QCI!$G$13,$E27,0),""))</f>
        <v/>
      </c>
      <c r="J26" s="245"/>
      <c r="K26" s="245"/>
      <c r="L26" s="246">
        <f ca="1">IF($E27=0,OFFSET(ORÇAMENTO!C$15,$E26,0),1)</f>
        <v>1</v>
      </c>
      <c r="M26" s="247">
        <f ca="1">IF($E27=-1,0,IF(M$13&lt;=$L26,IF(ISERROR(MATCH(M$13,OFFSET($L26,1,0,ROW($L$164)-ROW($L26)-1),0)),ROW($L$164)-ROW($L26)-1,MATCH(M$13,OFFSET($L26,1,0,ROW($L$164)-ROW($L26)-1),0)-1),0))</f>
        <v>2</v>
      </c>
      <c r="N26" s="247">
        <f ca="1">IF($E27=-1,0,IF(N$13&lt;=$L26,IF(ISERROR(MATCH(N$13,OFFSET($L26,1,0,ROW($L$164)-ROW($L26)-1),0)),ROW($L$164)-ROW($L26)-1,MATCH(N$13,OFFSET($L26,1,0,ROW($L$164)-ROW($L26)-1),0)-1),0))</f>
        <v>0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0</v>
      </c>
      <c r="S26" s="249" t="s">
        <v>269</v>
      </c>
      <c r="T26" s="250" t="e">
        <f t="shared" ref="T26:AE26" ca="1" si="7">IF(AND($Q26=2,ACOMPANHAMENTO="BM"),T27,T28/$R26)</f>
        <v>#DIV/0!</v>
      </c>
      <c r="U26" s="242" t="e">
        <f t="shared" ca="1" si="7"/>
        <v>#DIV/0!</v>
      </c>
      <c r="V26" s="242" t="e">
        <f t="shared" ca="1" si="7"/>
        <v>#DIV/0!</v>
      </c>
      <c r="W26" s="242" t="e">
        <f t="shared" ca="1" si="7"/>
        <v>#DIV/0!</v>
      </c>
      <c r="X26" s="242" t="e">
        <f t="shared" ca="1" si="7"/>
        <v>#DIV/0!</v>
      </c>
      <c r="Y26" s="242" t="e">
        <f t="shared" ca="1" si="7"/>
        <v>#DIV/0!</v>
      </c>
      <c r="Z26" s="242" t="e">
        <f t="shared" ca="1" si="7"/>
        <v>#DIV/0!</v>
      </c>
      <c r="AA26" s="242" t="e">
        <f t="shared" ca="1" si="7"/>
        <v>#DIV/0!</v>
      </c>
      <c r="AB26" s="242" t="e">
        <f t="shared" ca="1" si="7"/>
        <v>#DIV/0!</v>
      </c>
      <c r="AC26" s="242" t="e">
        <f t="shared" ca="1" si="7"/>
        <v>#DIV/0!</v>
      </c>
      <c r="AD26" s="242" t="e">
        <f t="shared" ca="1" si="7"/>
        <v>#DIV/0!</v>
      </c>
      <c r="AE26" s="251" t="e">
        <f t="shared" ca="1" si="7"/>
        <v>#DIV/0!</v>
      </c>
    </row>
    <row r="27" spans="1:32" ht="12.75" hidden="1" customHeight="1" x14ac:dyDescent="0.2">
      <c r="D27" s="620"/>
      <c r="E27" s="239">
        <f ca="1">IF(ISERROR(E26),IF(1+COUNTIF($L$13:OFFSET(L26,-1,0),1)&lt;=MAX(QCI!$D$13:$D$24),1+COUNTIF($L$13:OFFSET(L26,-1,0),1),-1),0)</f>
        <v>5</v>
      </c>
      <c r="F27" s="239" t="str">
        <f ca="1">IF(AND($E27&lt;&gt;-1,$R26&gt;0),"F","")</f>
        <v/>
      </c>
      <c r="G27" s="252" t="str">
        <f ca="1">IF(OR(R26=0,R26=""),"vazia",IF(AND(OR(ACOMPANHAMENTO="PLE",$Q26&lt;&gt;2),$E27=0),"calculada","--&gt;"))</f>
        <v>vazia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1$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0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hidden="1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1</v>
      </c>
      <c r="D29" s="242" t="e">
        <f ca="1">IF(AND($Q29=2,ACOMPANHAMENTO="BM"),D30,D31/$R29)</f>
        <v>#DIV/0!</v>
      </c>
      <c r="E29" s="239" t="e">
        <f ca="1">IF(A29&lt;=ORÇAMENTO.MáximoListaCrono,MATCH(A29,ORÇAMENTO.ListaCrono,0),NA())</f>
        <v>#N/A</v>
      </c>
      <c r="F29" s="239" t="str">
        <f ca="1">IF(AND($E30&lt;&gt;-1,$R29&gt;0),"F","")</f>
        <v/>
      </c>
      <c r="G29" s="243" t="str">
        <f ca="1">IF(OR(R29=0,R29=""),"Linha",IF(AND(OR(ACOMPANHAMENTO="PLE",$Q29&lt;&gt;2),$E30=0),"Linha",1-SUM(T29:AF29)))</f>
        <v>Linha</v>
      </c>
      <c r="H29" s="244">
        <f ca="1">IF($E30=0,OFFSET(ORÇAMENTO!O$15,$E29,0),IF($E30&lt;&gt;-1,OFFSET(QCI!$D$13,$E30,0),""))</f>
        <v>6</v>
      </c>
      <c r="I29" s="245" t="str">
        <f ca="1">IF($E30=0,OFFSET(ORÇAMENTO!R$15,$E29,0),IF($E30&lt;&gt;-1,OFFSET(QCI!$G$13,$E30,0),""))</f>
        <v/>
      </c>
      <c r="J29" s="245"/>
      <c r="K29" s="245"/>
      <c r="L29" s="246">
        <f ca="1">IF($E30=0,OFFSET(ORÇAMENTO!C$15,$E29,0),1)</f>
        <v>1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0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0</v>
      </c>
      <c r="S29" s="249" t="s">
        <v>269</v>
      </c>
      <c r="T29" s="250" t="e">
        <f t="shared" ref="T29:AE29" ca="1" si="8">IF(AND($Q29=2,ACOMPANHAMENTO="BM"),T30,T31/$R29)</f>
        <v>#DIV/0!</v>
      </c>
      <c r="U29" s="242" t="e">
        <f t="shared" ca="1" si="8"/>
        <v>#DIV/0!</v>
      </c>
      <c r="V29" s="242" t="e">
        <f t="shared" ca="1" si="8"/>
        <v>#DIV/0!</v>
      </c>
      <c r="W29" s="242" t="e">
        <f t="shared" ca="1" si="8"/>
        <v>#DIV/0!</v>
      </c>
      <c r="X29" s="242" t="e">
        <f t="shared" ca="1" si="8"/>
        <v>#DIV/0!</v>
      </c>
      <c r="Y29" s="242" t="e">
        <f t="shared" ca="1" si="8"/>
        <v>#DIV/0!</v>
      </c>
      <c r="Z29" s="242" t="e">
        <f t="shared" ca="1" si="8"/>
        <v>#DIV/0!</v>
      </c>
      <c r="AA29" s="242" t="e">
        <f t="shared" ca="1" si="8"/>
        <v>#DIV/0!</v>
      </c>
      <c r="AB29" s="242" t="e">
        <f t="shared" ca="1" si="8"/>
        <v>#DIV/0!</v>
      </c>
      <c r="AC29" s="242" t="e">
        <f t="shared" ca="1" si="8"/>
        <v>#DIV/0!</v>
      </c>
      <c r="AD29" s="242" t="e">
        <f t="shared" ca="1" si="8"/>
        <v>#DIV/0!</v>
      </c>
      <c r="AE29" s="251" t="e">
        <f t="shared" ca="1" si="8"/>
        <v>#DIV/0!</v>
      </c>
    </row>
    <row r="30" spans="1:32" ht="12.75" hidden="1" customHeight="1" x14ac:dyDescent="0.2">
      <c r="D30" s="620"/>
      <c r="E30" s="239">
        <f ca="1">IF(ISERROR(E29),IF(1+COUNTIF($L$13:OFFSET(L29,-1,0),1)&lt;=MAX(QCI!$D$13:$D$24),1+COUNTIF($L$13:OFFSET(L29,-1,0),1),-1),0)</f>
        <v>6</v>
      </c>
      <c r="F30" s="239" t="str">
        <f ca="1">IF(AND($E30&lt;&gt;-1,$R29&gt;0),"F","")</f>
        <v/>
      </c>
      <c r="G30" s="252" t="str">
        <f ca="1">IF(OR(R29=0,R29=""),"vazia",IF(AND(OR(ACOMPANHAMENTO="PLE",$Q29&lt;&gt;2),$E30=0),"calculada","--&gt;"))</f>
        <v>vazia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1$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1</v>
      </c>
      <c r="D32" s="242" t="e">
        <f ca="1">IF(AND($Q32=2,ACOMPANHAMENTO="BM"),D33,D34/$R32)</f>
        <v>#DIV/0!</v>
      </c>
      <c r="E32" s="239" t="e">
        <f ca="1">IF(A32&lt;=ORÇAMENTO.MáximoListaCrono,MATCH(A32,ORÇAMENTO.ListaCrono,0),NA())</f>
        <v>#N/A</v>
      </c>
      <c r="F32" s="239" t="str">
        <f ca="1">IF(AND($E33&lt;&gt;-1,$R32&gt;0),"F","")</f>
        <v/>
      </c>
      <c r="G32" s="243" t="str">
        <f ca="1">IF(OR(R32=0,R32=""),"Linha",IF(AND(OR(ACOMPANHAMENTO="PLE",$Q32&lt;&gt;2),$E33=0),"Linha",1-SUM(T32:AF32)))</f>
        <v>Linha</v>
      </c>
      <c r="H32" s="244">
        <f ca="1">IF($E33=0,OFFSET(ORÇAMENTO!O$15,$E32,0),IF($E33&lt;&gt;-1,OFFSET(QCI!$D$13,$E33,0),""))</f>
        <v>7</v>
      </c>
      <c r="I32" s="245" t="str">
        <f ca="1">IF($E33=0,OFFSET(ORÇAMENTO!R$15,$E32,0),IF($E33&lt;&gt;-1,OFFSET(QCI!$G$13,$E33,0),""))</f>
        <v/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0</v>
      </c>
      <c r="S32" s="249" t="s">
        <v>269</v>
      </c>
      <c r="T32" s="250" t="e">
        <f t="shared" ref="T32:AE32" ca="1" si="9">IF(AND($Q32=2,ACOMPANHAMENTO="BM"),T33,T34/$R32)</f>
        <v>#DIV/0!</v>
      </c>
      <c r="U32" s="242" t="e">
        <f t="shared" ca="1" si="9"/>
        <v>#DIV/0!</v>
      </c>
      <c r="V32" s="242" t="e">
        <f t="shared" ca="1" si="9"/>
        <v>#DIV/0!</v>
      </c>
      <c r="W32" s="242" t="e">
        <f t="shared" ca="1" si="9"/>
        <v>#DIV/0!</v>
      </c>
      <c r="X32" s="242" t="e">
        <f t="shared" ca="1" si="9"/>
        <v>#DIV/0!</v>
      </c>
      <c r="Y32" s="242" t="e">
        <f t="shared" ca="1" si="9"/>
        <v>#DIV/0!</v>
      </c>
      <c r="Z32" s="242" t="e">
        <f t="shared" ca="1" si="9"/>
        <v>#DIV/0!</v>
      </c>
      <c r="AA32" s="242" t="e">
        <f t="shared" ca="1" si="9"/>
        <v>#DIV/0!</v>
      </c>
      <c r="AB32" s="242" t="e">
        <f t="shared" ca="1" si="9"/>
        <v>#DIV/0!</v>
      </c>
      <c r="AC32" s="242" t="e">
        <f t="shared" ca="1" si="9"/>
        <v>#DIV/0!</v>
      </c>
      <c r="AD32" s="242" t="e">
        <f t="shared" ca="1" si="9"/>
        <v>#DIV/0!</v>
      </c>
      <c r="AE32" s="251" t="e">
        <f t="shared" ca="1" si="9"/>
        <v>#DIV/0!</v>
      </c>
    </row>
    <row r="33" spans="1:32" ht="12.75" hidden="1" customHeight="1" x14ac:dyDescent="0.2">
      <c r="D33" s="620"/>
      <c r="E33" s="239">
        <f ca="1">IF(ISERROR(E32),IF(1+COUNTIF($L$13:OFFSET(L32,-1,0),1)&lt;=MAX(QCI!$D$13:$D$24),1+COUNTIF($L$13:OFFSET(L32,-1,0),1),-1),0)</f>
        <v>7</v>
      </c>
      <c r="F33" s="239" t="str">
        <f ca="1">IF(AND($E33&lt;&gt;-1,$R32&gt;0),"F","")</f>
        <v/>
      </c>
      <c r="G33" s="252" t="str">
        <f ca="1">IF(OR(R32=0,R32=""),"vazia",IF(AND(OR(ACOMPANHAMENTO="PLE",$Q32&lt;&gt;2),$E33=0),"calculada","--&gt;"))</f>
        <v>vazia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1</v>
      </c>
      <c r="D35" s="242" t="e">
        <f ca="1">IF(AND($Q35=2,ACOMPANHAMENTO="BM"),D36,D37/$R35)</f>
        <v>#DIV/0!</v>
      </c>
      <c r="E35" s="239" t="e">
        <f ca="1">IF(A35&lt;=ORÇAMENTO.MáximoListaCrono,MATCH(A35,ORÇAMENTO.ListaCrono,0),NA())</f>
        <v>#N/A</v>
      </c>
      <c r="F35" s="239" t="str">
        <f ca="1">IF(AND($E36&lt;&gt;-1,$R35&gt;0),"F","")</f>
        <v/>
      </c>
      <c r="G35" s="243" t="str">
        <f ca="1">IF(OR(R35=0,R35=""),"Linha",IF(AND(OR(ACOMPANHAMENTO="PLE",$Q35&lt;&gt;2),$E36=0),"Linha",1-SUM(T35:AF35)))</f>
        <v>Linha</v>
      </c>
      <c r="H35" s="244">
        <f ca="1">IF($E36=0,OFFSET(ORÇAMENTO!O$15,$E35,0),IF($E36&lt;&gt;-1,OFFSET(QCI!$D$13,$E36,0),""))</f>
        <v>8</v>
      </c>
      <c r="I35" s="245" t="str">
        <f ca="1">IF($E36=0,OFFSET(ORÇAMENTO!R$15,$E35,0),IF($E36&lt;&gt;-1,OFFSET(QCI!$G$13,$E36,0),""))</f>
        <v/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0</v>
      </c>
      <c r="S35" s="249" t="s">
        <v>269</v>
      </c>
      <c r="T35" s="250" t="e">
        <f t="shared" ref="T35:AE35" ca="1" si="10">IF(AND($Q35=2,ACOMPANHAMENTO="BM"),T36,T37/$R35)</f>
        <v>#DIV/0!</v>
      </c>
      <c r="U35" s="242" t="e">
        <f t="shared" ca="1" si="10"/>
        <v>#DIV/0!</v>
      </c>
      <c r="V35" s="242" t="e">
        <f t="shared" ca="1" si="10"/>
        <v>#DIV/0!</v>
      </c>
      <c r="W35" s="242" t="e">
        <f t="shared" ca="1" si="10"/>
        <v>#DIV/0!</v>
      </c>
      <c r="X35" s="242" t="e">
        <f t="shared" ca="1" si="10"/>
        <v>#DIV/0!</v>
      </c>
      <c r="Y35" s="242" t="e">
        <f t="shared" ca="1" si="10"/>
        <v>#DIV/0!</v>
      </c>
      <c r="Z35" s="242" t="e">
        <f t="shared" ca="1" si="10"/>
        <v>#DIV/0!</v>
      </c>
      <c r="AA35" s="242" t="e">
        <f t="shared" ca="1" si="10"/>
        <v>#DIV/0!</v>
      </c>
      <c r="AB35" s="242" t="e">
        <f t="shared" ca="1" si="10"/>
        <v>#DIV/0!</v>
      </c>
      <c r="AC35" s="242" t="e">
        <f t="shared" ca="1" si="10"/>
        <v>#DIV/0!</v>
      </c>
      <c r="AD35" s="242" t="e">
        <f t="shared" ca="1" si="10"/>
        <v>#DIV/0!</v>
      </c>
      <c r="AE35" s="251" t="e">
        <f t="shared" ca="1" si="10"/>
        <v>#DIV/0!</v>
      </c>
    </row>
    <row r="36" spans="1:32" ht="12.75" hidden="1" customHeight="1" x14ac:dyDescent="0.2">
      <c r="D36" s="620"/>
      <c r="E36" s="239">
        <f ca="1">IF(ISERROR(E35),IF(1+COUNTIF($L$13:OFFSET(L35,-1,0),1)&lt;=MAX(QCI!$D$13:$D$24),1+COUNTIF($L$13:OFFSET(L35,-1,0),1),-1),0)</f>
        <v>8</v>
      </c>
      <c r="F36" s="239" t="str">
        <f ca="1">IF(AND($E36&lt;&gt;-1,$R35&gt;0),"F","")</f>
        <v/>
      </c>
      <c r="G36" s="252" t="str">
        <f ca="1">IF(OR(R35=0,R35=""),"vazia",IF(AND(OR(ACOMPANHAMENTO="PLE",$Q35&lt;&gt;2),$E36=0),"calculada","--&gt;"))</f>
        <v>vazia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1</v>
      </c>
      <c r="D38" s="242" t="e">
        <f ca="1">IF(AND($Q38=2,ACOMPANHAMENTO="BM"),D39,D40/$R38)</f>
        <v>#DIV/0!</v>
      </c>
      <c r="E38" s="239" t="e">
        <f ca="1">IF(A38&lt;=ORÇAMENTO.MáximoListaCrono,MATCH(A38,ORÇAMENTO.ListaCrono,0),NA())</f>
        <v>#N/A</v>
      </c>
      <c r="F38" s="239" t="str">
        <f ca="1">IF(AND($E39&lt;&gt;-1,$R38&gt;0),"F","")</f>
        <v/>
      </c>
      <c r="G38" s="243" t="str">
        <f ca="1">IF(OR(R38=0,R38=""),"Linha",IF(AND(OR(ACOMPANHAMENTO="PLE",$Q38&lt;&gt;2),$E39=0),"Linha",1-SUM(T38:AF38)))</f>
        <v>Linha</v>
      </c>
      <c r="H38" s="244">
        <f ca="1">IF($E39=0,OFFSET(ORÇAMENTO!O$15,$E38,0),IF($E39&lt;&gt;-1,OFFSET(QCI!$D$13,$E39,0),""))</f>
        <v>9</v>
      </c>
      <c r="I38" s="245" t="str">
        <f ca="1">IF($E39=0,OFFSET(ORÇAMENTO!R$15,$E38,0),IF($E39&lt;&gt;-1,OFFSET(QCI!$G$13,$E39,0),""))</f>
        <v/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0</v>
      </c>
      <c r="S38" s="249" t="s">
        <v>269</v>
      </c>
      <c r="T38" s="250" t="e">
        <f t="shared" ref="T38:AE38" ca="1" si="11">IF(AND($Q38=2,ACOMPANHAMENTO="BM"),T39,T40/$R38)</f>
        <v>#DIV/0!</v>
      </c>
      <c r="U38" s="242" t="e">
        <f t="shared" ca="1" si="11"/>
        <v>#DIV/0!</v>
      </c>
      <c r="V38" s="242" t="e">
        <f t="shared" ca="1" si="11"/>
        <v>#DIV/0!</v>
      </c>
      <c r="W38" s="242" t="e">
        <f t="shared" ca="1" si="11"/>
        <v>#DIV/0!</v>
      </c>
      <c r="X38" s="242" t="e">
        <f t="shared" ca="1" si="11"/>
        <v>#DIV/0!</v>
      </c>
      <c r="Y38" s="242" t="e">
        <f t="shared" ca="1" si="11"/>
        <v>#DIV/0!</v>
      </c>
      <c r="Z38" s="242" t="e">
        <f t="shared" ca="1" si="11"/>
        <v>#DIV/0!</v>
      </c>
      <c r="AA38" s="242" t="e">
        <f t="shared" ca="1" si="11"/>
        <v>#DIV/0!</v>
      </c>
      <c r="AB38" s="242" t="e">
        <f t="shared" ca="1" si="11"/>
        <v>#DIV/0!</v>
      </c>
      <c r="AC38" s="242" t="e">
        <f t="shared" ca="1" si="11"/>
        <v>#DIV/0!</v>
      </c>
      <c r="AD38" s="242" t="e">
        <f t="shared" ca="1" si="11"/>
        <v>#DIV/0!</v>
      </c>
      <c r="AE38" s="251" t="e">
        <f t="shared" ca="1" si="11"/>
        <v>#DIV/0!</v>
      </c>
    </row>
    <row r="39" spans="1:32" ht="12.75" hidden="1" customHeight="1" x14ac:dyDescent="0.2">
      <c r="D39" s="620"/>
      <c r="E39" s="239">
        <f ca="1">IF(ISERROR(E38),IF(1+COUNTIF($L$13:OFFSET(L38,-1,0),1)&lt;=MAX(QCI!$D$13:$D$24),1+COUNTIF($L$13:OFFSET(L38,-1,0),1),-1),0)</f>
        <v>9</v>
      </c>
      <c r="F39" s="239" t="str">
        <f ca="1">IF(AND($E39&lt;&gt;-1,$R38&gt;0),"F","")</f>
        <v/>
      </c>
      <c r="G39" s="252" t="str">
        <f ca="1">IF(OR(R38=0,R38=""),"vazia",IF(AND(OR(ACOMPANHAMENTO="PLE",$Q38&lt;&gt;2),$E39=0),"calculada","--&gt;"))</f>
        <v>vazia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 t="e">
        <f ca="1">IF(AND($Q41=2,ACOMPANHAMENTO="BM"),D42,D43/$R41)</f>
        <v>#DIV/0!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10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 t="e">
        <f t="shared" ref="T41:AE41" ca="1" si="12">IF(AND($Q41=2,ACOMPANHAMENTO="BM"),T42,T43/$R41)</f>
        <v>#DIV/0!</v>
      </c>
      <c r="U41" s="242" t="e">
        <f t="shared" ca="1" si="12"/>
        <v>#DIV/0!</v>
      </c>
      <c r="V41" s="242" t="e">
        <f t="shared" ca="1" si="12"/>
        <v>#DIV/0!</v>
      </c>
      <c r="W41" s="242" t="e">
        <f t="shared" ca="1" si="12"/>
        <v>#DIV/0!</v>
      </c>
      <c r="X41" s="242" t="e">
        <f t="shared" ca="1" si="12"/>
        <v>#DIV/0!</v>
      </c>
      <c r="Y41" s="242" t="e">
        <f t="shared" ca="1" si="12"/>
        <v>#DIV/0!</v>
      </c>
      <c r="Z41" s="242" t="e">
        <f t="shared" ca="1" si="12"/>
        <v>#DIV/0!</v>
      </c>
      <c r="AA41" s="242" t="e">
        <f t="shared" ca="1" si="12"/>
        <v>#DIV/0!</v>
      </c>
      <c r="AB41" s="242" t="e">
        <f t="shared" ca="1" si="12"/>
        <v>#DIV/0!</v>
      </c>
      <c r="AC41" s="242" t="e">
        <f t="shared" ca="1" si="12"/>
        <v>#DIV/0!</v>
      </c>
      <c r="AD41" s="242" t="e">
        <f t="shared" ca="1" si="12"/>
        <v>#DIV/0!</v>
      </c>
      <c r="AE41" s="251" t="e">
        <f t="shared" ca="1" si="12"/>
        <v>#DIV/0!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10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0</v>
      </c>
      <c r="C44" s="239">
        <f ca="1">IF($Q44&lt;&gt;2,0,IF($R44=0,1,IF(E45&gt;0,OFFSET(QCI!$N$13,SUBSTITUTE(E45,".",""),0),OFFSET(ORÇAMENTO!$AB$15,CRONO!$E44,0))/$R44))</f>
        <v>0</v>
      </c>
      <c r="D44" s="242" t="e">
        <f ca="1">IF(AND($Q44=2,ACOMPANHAMENTO="BM"),D45,D46/$R44)</f>
        <v>#VALUE!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 t="str">
        <f ca="1">IF($E45=0,OFFSET(ORÇAMENTO!O$15,$E44,0),IF($E45&lt;&gt;-1,OFFSET(QCI!$D$13,$E45,0),""))</f>
        <v/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0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0</v>
      </c>
      <c r="R44" s="248" t="str">
        <f ca="1">IF($E45=0,OFFSET(ORÇAMENTO!X$15,$E44,0),IF($E45&lt;&gt;-1,OFFSET(QCI!$O$13,$E45,0),""))</f>
        <v/>
      </c>
      <c r="S44" s="249" t="s">
        <v>269</v>
      </c>
      <c r="T44" s="250" t="e">
        <f t="shared" ref="T44:AE44" ca="1" si="13">IF(AND($Q44=2,ACOMPANHAMENTO="BM"),T45,T46/$R44)</f>
        <v>#VALUE!</v>
      </c>
      <c r="U44" s="242" t="e">
        <f t="shared" ca="1" si="13"/>
        <v>#VALUE!</v>
      </c>
      <c r="V44" s="242" t="e">
        <f t="shared" ca="1" si="13"/>
        <v>#VALUE!</v>
      </c>
      <c r="W44" s="242" t="e">
        <f t="shared" ca="1" si="13"/>
        <v>#VALUE!</v>
      </c>
      <c r="X44" s="242" t="e">
        <f t="shared" ca="1" si="13"/>
        <v>#VALUE!</v>
      </c>
      <c r="Y44" s="242" t="e">
        <f t="shared" ca="1" si="13"/>
        <v>#VALUE!</v>
      </c>
      <c r="Z44" s="242" t="e">
        <f t="shared" ca="1" si="13"/>
        <v>#VALUE!</v>
      </c>
      <c r="AA44" s="242" t="e">
        <f t="shared" ca="1" si="13"/>
        <v>#VALUE!</v>
      </c>
      <c r="AB44" s="242" t="e">
        <f t="shared" ca="1" si="13"/>
        <v>#VALUE!</v>
      </c>
      <c r="AC44" s="242" t="e">
        <f t="shared" ca="1" si="13"/>
        <v>#VALUE!</v>
      </c>
      <c r="AD44" s="242" t="e">
        <f t="shared" ca="1" si="13"/>
        <v>#VALUE!</v>
      </c>
      <c r="AE44" s="251" t="e">
        <f t="shared" ca="1" si="13"/>
        <v>#VALUE!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-1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0</v>
      </c>
      <c r="C47" s="239">
        <f ca="1">IF($Q47&lt;&gt;2,0,IF($R47=0,1,IF(E48&gt;0,OFFSET(QCI!$N$13,SUBSTITUTE(E48,".",""),0),OFFSET(ORÇAMENTO!$AB$15,CRONO!$E47,0))/$R47))</f>
        <v>0</v>
      </c>
      <c r="D47" s="242" t="e">
        <f ca="1">IF(AND($Q47=2,ACOMPANHAMENTO="BM"),D48,D49/$R47)</f>
        <v>#VALUE!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 t="str">
        <f ca="1">IF($E48=0,OFFSET(ORÇAMENTO!O$15,$E47,0),IF($E48&lt;&gt;-1,OFFSET(QCI!$D$13,$E48,0),""))</f>
        <v/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0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0</v>
      </c>
      <c r="R47" s="248" t="str">
        <f ca="1">IF($E48=0,OFFSET(ORÇAMENTO!X$15,$E47,0),IF($E48&lt;&gt;-1,OFFSET(QCI!$O$13,$E48,0),""))</f>
        <v/>
      </c>
      <c r="S47" s="249" t="s">
        <v>269</v>
      </c>
      <c r="T47" s="250" t="e">
        <f t="shared" ref="T47:AE47" ca="1" si="14">IF(AND($Q47=2,ACOMPANHAMENTO="BM"),T48,T49/$R47)</f>
        <v>#VALUE!</v>
      </c>
      <c r="U47" s="242" t="e">
        <f t="shared" ca="1" si="14"/>
        <v>#VALUE!</v>
      </c>
      <c r="V47" s="242" t="e">
        <f t="shared" ca="1" si="14"/>
        <v>#VALUE!</v>
      </c>
      <c r="W47" s="242" t="e">
        <f t="shared" ca="1" si="14"/>
        <v>#VALUE!</v>
      </c>
      <c r="X47" s="242" t="e">
        <f t="shared" ca="1" si="14"/>
        <v>#VALUE!</v>
      </c>
      <c r="Y47" s="242" t="e">
        <f t="shared" ca="1" si="14"/>
        <v>#VALUE!</v>
      </c>
      <c r="Z47" s="242" t="e">
        <f t="shared" ca="1" si="14"/>
        <v>#VALUE!</v>
      </c>
      <c r="AA47" s="242" t="e">
        <f t="shared" ca="1" si="14"/>
        <v>#VALUE!</v>
      </c>
      <c r="AB47" s="242" t="e">
        <f t="shared" ca="1" si="14"/>
        <v>#VALUE!</v>
      </c>
      <c r="AC47" s="242" t="e">
        <f t="shared" ca="1" si="14"/>
        <v>#VALUE!</v>
      </c>
      <c r="AD47" s="242" t="e">
        <f t="shared" ca="1" si="14"/>
        <v>#VALUE!</v>
      </c>
      <c r="AE47" s="251" t="e">
        <f t="shared" ca="1" si="14"/>
        <v>#VALUE!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-1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0</v>
      </c>
      <c r="C50" s="239">
        <f ca="1">IF($Q50&lt;&gt;2,0,IF($R50=0,1,IF(E51&gt;0,OFFSET(QCI!$N$13,SUBSTITUTE(E51,".",""),0),OFFSET(ORÇAMENTO!$AB$15,CRONO!$E50,0))/$R50))</f>
        <v>0</v>
      </c>
      <c r="D50" s="242" t="e">
        <f ca="1">IF(AND($Q50=2,ACOMPANHAMENTO="BM"),D51,D52/$R50)</f>
        <v>#VALUE!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 t="str">
        <f ca="1">IF($E51=0,OFFSET(ORÇAMENTO!O$15,$E50,0),IF($E51&lt;&gt;-1,OFFSET(QCI!$D$13,$E51,0),""))</f>
        <v/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0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0</v>
      </c>
      <c r="R50" s="248" t="str">
        <f ca="1">IF($E51=0,OFFSET(ORÇAMENTO!X$15,$E50,0),IF($E51&lt;&gt;-1,OFFSET(QCI!$O$13,$E51,0),""))</f>
        <v/>
      </c>
      <c r="S50" s="249" t="s">
        <v>269</v>
      </c>
      <c r="T50" s="250" t="e">
        <f t="shared" ref="T50:AE50" ca="1" si="15">IF(AND($Q50=2,ACOMPANHAMENTO="BM"),T51,T52/$R50)</f>
        <v>#VALUE!</v>
      </c>
      <c r="U50" s="242" t="e">
        <f t="shared" ca="1" si="15"/>
        <v>#VALUE!</v>
      </c>
      <c r="V50" s="242" t="e">
        <f t="shared" ca="1" si="15"/>
        <v>#VALUE!</v>
      </c>
      <c r="W50" s="242" t="e">
        <f t="shared" ca="1" si="15"/>
        <v>#VALUE!</v>
      </c>
      <c r="X50" s="242" t="e">
        <f t="shared" ca="1" si="15"/>
        <v>#VALUE!</v>
      </c>
      <c r="Y50" s="242" t="e">
        <f t="shared" ca="1" si="15"/>
        <v>#VALUE!</v>
      </c>
      <c r="Z50" s="242" t="e">
        <f t="shared" ca="1" si="15"/>
        <v>#VALUE!</v>
      </c>
      <c r="AA50" s="242" t="e">
        <f t="shared" ca="1" si="15"/>
        <v>#VALUE!</v>
      </c>
      <c r="AB50" s="242" t="e">
        <f t="shared" ca="1" si="15"/>
        <v>#VALUE!</v>
      </c>
      <c r="AC50" s="242" t="e">
        <f t="shared" ca="1" si="15"/>
        <v>#VALUE!</v>
      </c>
      <c r="AD50" s="242" t="e">
        <f t="shared" ca="1" si="15"/>
        <v>#VALUE!</v>
      </c>
      <c r="AE50" s="251" t="e">
        <f t="shared" ca="1" si="15"/>
        <v>#VALUE!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-1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0</v>
      </c>
      <c r="C53" s="239">
        <f ca="1">IF($Q53&lt;&gt;2,0,IF($R53=0,1,IF(E54&gt;0,OFFSET(QCI!$N$13,SUBSTITUTE(E54,".",""),0),OFFSET(ORÇAMENTO!$AB$15,CRONO!$E53,0))/$R53))</f>
        <v>0</v>
      </c>
      <c r="D53" s="242" t="e">
        <f ca="1">IF(AND($Q53=2,ACOMPANHAMENTO="BM"),D54,D55/$R53)</f>
        <v>#VALUE!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 t="str">
        <f ca="1">IF($E54=0,OFFSET(ORÇAMENTO!O$15,$E53,0),IF($E54&lt;&gt;-1,OFFSET(QCI!$D$13,$E54,0),""))</f>
        <v/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0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0</v>
      </c>
      <c r="R53" s="248" t="str">
        <f ca="1">IF($E54=0,OFFSET(ORÇAMENTO!X$15,$E53,0),IF($E54&lt;&gt;-1,OFFSET(QCI!$O$13,$E54,0),""))</f>
        <v/>
      </c>
      <c r="S53" s="249" t="s">
        <v>269</v>
      </c>
      <c r="T53" s="250" t="e">
        <f t="shared" ref="T53:AE53" ca="1" si="16">IF(AND($Q53=2,ACOMPANHAMENTO="BM"),T54,T55/$R53)</f>
        <v>#VALUE!</v>
      </c>
      <c r="U53" s="242" t="e">
        <f t="shared" ca="1" si="16"/>
        <v>#VALUE!</v>
      </c>
      <c r="V53" s="242" t="e">
        <f t="shared" ca="1" si="16"/>
        <v>#VALUE!</v>
      </c>
      <c r="W53" s="242" t="e">
        <f t="shared" ca="1" si="16"/>
        <v>#VALUE!</v>
      </c>
      <c r="X53" s="242" t="e">
        <f t="shared" ca="1" si="16"/>
        <v>#VALUE!</v>
      </c>
      <c r="Y53" s="242" t="e">
        <f t="shared" ca="1" si="16"/>
        <v>#VALUE!</v>
      </c>
      <c r="Z53" s="242" t="e">
        <f t="shared" ca="1" si="16"/>
        <v>#VALUE!</v>
      </c>
      <c r="AA53" s="242" t="e">
        <f t="shared" ca="1" si="16"/>
        <v>#VALUE!</v>
      </c>
      <c r="AB53" s="242" t="e">
        <f t="shared" ca="1" si="16"/>
        <v>#VALUE!</v>
      </c>
      <c r="AC53" s="242" t="e">
        <f t="shared" ca="1" si="16"/>
        <v>#VALUE!</v>
      </c>
      <c r="AD53" s="242" t="e">
        <f t="shared" ca="1" si="16"/>
        <v>#VALUE!</v>
      </c>
      <c r="AE53" s="251" t="e">
        <f t="shared" ca="1" si="16"/>
        <v>#VALUE!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-1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0</v>
      </c>
      <c r="C56" s="239">
        <f ca="1">IF($Q56&lt;&gt;2,0,IF($R56=0,1,IF(E57&gt;0,OFFSET(QCI!$N$13,SUBSTITUTE(E57,".",""),0),OFFSET(ORÇAMENTO!$AB$15,CRONO!$E56,0))/$R56))</f>
        <v>0</v>
      </c>
      <c r="D56" s="242" t="e">
        <f ca="1">IF(AND($Q56=2,ACOMPANHAMENTO="BM"),D57,D58/$R56)</f>
        <v>#VALUE!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 t="str">
        <f ca="1">IF($E57=0,OFFSET(ORÇAMENTO!O$15,$E56,0),IF($E57&lt;&gt;-1,OFFSET(QCI!$D$13,$E57,0),""))</f>
        <v/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0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0</v>
      </c>
      <c r="R56" s="248" t="str">
        <f ca="1">IF($E57=0,OFFSET(ORÇAMENTO!X$15,$E56,0),IF($E57&lt;&gt;-1,OFFSET(QCI!$O$13,$E57,0),""))</f>
        <v/>
      </c>
      <c r="S56" s="249" t="s">
        <v>269</v>
      </c>
      <c r="T56" s="250" t="e">
        <f t="shared" ref="T56:AE56" ca="1" si="17">IF(AND($Q56=2,ACOMPANHAMENTO="BM"),T57,T58/$R56)</f>
        <v>#VALUE!</v>
      </c>
      <c r="U56" s="242" t="e">
        <f t="shared" ca="1" si="17"/>
        <v>#VALUE!</v>
      </c>
      <c r="V56" s="242" t="e">
        <f t="shared" ca="1" si="17"/>
        <v>#VALUE!</v>
      </c>
      <c r="W56" s="242" t="e">
        <f t="shared" ca="1" si="17"/>
        <v>#VALUE!</v>
      </c>
      <c r="X56" s="242" t="e">
        <f t="shared" ca="1" si="17"/>
        <v>#VALUE!</v>
      </c>
      <c r="Y56" s="242" t="e">
        <f t="shared" ca="1" si="17"/>
        <v>#VALUE!</v>
      </c>
      <c r="Z56" s="242" t="e">
        <f t="shared" ca="1" si="17"/>
        <v>#VALUE!</v>
      </c>
      <c r="AA56" s="242" t="e">
        <f t="shared" ca="1" si="17"/>
        <v>#VALUE!</v>
      </c>
      <c r="AB56" s="242" t="e">
        <f t="shared" ca="1" si="17"/>
        <v>#VALUE!</v>
      </c>
      <c r="AC56" s="242" t="e">
        <f t="shared" ca="1" si="17"/>
        <v>#VALUE!</v>
      </c>
      <c r="AD56" s="242" t="e">
        <f t="shared" ca="1" si="17"/>
        <v>#VALUE!</v>
      </c>
      <c r="AE56" s="251" t="e">
        <f t="shared" ca="1" si="17"/>
        <v>#VALUE!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-1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</v>
      </c>
      <c r="C59" s="239">
        <f ca="1">IF($Q59&lt;&gt;2,0,IF($R59=0,1,IF(E60&gt;0,OFFSET(QCI!$N$13,SUBSTITUTE(E60,".",""),0),OFFSET(ORÇAMENTO!$AB$15,CRONO!$E59,0))/$R59))</f>
        <v>0</v>
      </c>
      <c r="D59" s="242" t="e">
        <f ca="1">IF(AND($Q59=2,ACOMPANHAMENTO="BM"),D60,D61/$R59)</f>
        <v>#VALUE!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 t="str">
        <f ca="1">IF($E60=0,OFFSET(ORÇAMENTO!O$15,$E59,0),IF($E60&lt;&gt;-1,OFFSET(QCI!$D$13,$E60,0),""))</f>
        <v/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0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0</v>
      </c>
      <c r="R59" s="248" t="str">
        <f ca="1">IF($E60=0,OFFSET(ORÇAMENTO!X$15,$E59,0),IF($E60&lt;&gt;-1,OFFSET(QCI!$O$13,$E60,0),""))</f>
        <v/>
      </c>
      <c r="S59" s="249" t="s">
        <v>269</v>
      </c>
      <c r="T59" s="250" t="e">
        <f t="shared" ref="T59:AE59" ca="1" si="18">IF(AND($Q59=2,ACOMPANHAMENTO="BM"),T60,T61/$R59)</f>
        <v>#VALUE!</v>
      </c>
      <c r="U59" s="242" t="e">
        <f t="shared" ca="1" si="18"/>
        <v>#VALUE!</v>
      </c>
      <c r="V59" s="242" t="e">
        <f t="shared" ca="1" si="18"/>
        <v>#VALUE!</v>
      </c>
      <c r="W59" s="242" t="e">
        <f t="shared" ca="1" si="18"/>
        <v>#VALUE!</v>
      </c>
      <c r="X59" s="242" t="e">
        <f t="shared" ca="1" si="18"/>
        <v>#VALUE!</v>
      </c>
      <c r="Y59" s="242" t="e">
        <f t="shared" ca="1" si="18"/>
        <v>#VALUE!</v>
      </c>
      <c r="Z59" s="242" t="e">
        <f t="shared" ca="1" si="18"/>
        <v>#VALUE!</v>
      </c>
      <c r="AA59" s="242" t="e">
        <f t="shared" ca="1" si="18"/>
        <v>#VALUE!</v>
      </c>
      <c r="AB59" s="242" t="e">
        <f t="shared" ca="1" si="18"/>
        <v>#VALUE!</v>
      </c>
      <c r="AC59" s="242" t="e">
        <f t="shared" ca="1" si="18"/>
        <v>#VALUE!</v>
      </c>
      <c r="AD59" s="242" t="e">
        <f t="shared" ca="1" si="18"/>
        <v>#VALUE!</v>
      </c>
      <c r="AE59" s="251" t="e">
        <f t="shared" ca="1" si="18"/>
        <v>#VALUE!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-1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0.59589897462439856</v>
      </c>
      <c r="F165" s="239" t="s">
        <v>245</v>
      </c>
      <c r="H165" s="723" t="str">
        <f ca="1">"Total:    R$ "&amp;TEXT(Q165,"#.##0,00")</f>
        <v>Total:    R$ 20.963,05</v>
      </c>
      <c r="I165" s="723"/>
      <c r="J165" s="723"/>
      <c r="K165" s="291"/>
      <c r="Q165" s="292">
        <f ca="1">SUMIF(L12:L164,1,R12:R164)</f>
        <v>20963.050000000003</v>
      </c>
      <c r="R165" s="293"/>
      <c r="S165" s="294" t="s">
        <v>281</v>
      </c>
      <c r="T165" s="295">
        <f t="shared" ref="T165:AE165" ca="1" si="53">ROUND(T169,2)/$Q$165</f>
        <v>0.59589897462439856</v>
      </c>
      <c r="U165" s="296">
        <f t="shared" ca="1" si="53"/>
        <v>0.40410102537560133</v>
      </c>
      <c r="V165" s="296">
        <f t="shared" ca="1" si="53"/>
        <v>0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3"/>
      <c r="I166" s="723"/>
      <c r="J166" s="723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12491.86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12491.86</v>
      </c>
      <c r="U167" s="309">
        <f t="shared" ref="U167:AE167" ca="1" si="55">ROUND(U172,2)-ROUND(T172,2)</f>
        <v>8471.1899999999987</v>
      </c>
      <c r="V167" s="309">
        <f t="shared" ca="1" si="55"/>
        <v>0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12491.86</v>
      </c>
      <c r="F169" s="239" t="s">
        <v>245</v>
      </c>
      <c r="K169" s="317"/>
      <c r="R169" s="318"/>
      <c r="S169" s="319" t="s">
        <v>285</v>
      </c>
      <c r="T169" s="320">
        <f ca="1">ROUND(T174,2)</f>
        <v>12491.86</v>
      </c>
      <c r="U169" s="321">
        <f t="shared" ref="U169:AE169" ca="1" si="57">ROUND(U174,2)-ROUND(T174,2)</f>
        <v>8471.1899999999987</v>
      </c>
      <c r="V169" s="321">
        <f t="shared" ca="1" si="57"/>
        <v>0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0.59589897462439845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0.59589897462439856</v>
      </c>
      <c r="U170" s="296">
        <f t="shared" ref="U170:AE170" ca="1" si="58">ROUND(U174,2)/$Q$165</f>
        <v>0.99999999999999978</v>
      </c>
      <c r="V170" s="296">
        <f t="shared" ca="1" si="58"/>
        <v>0.99999999999999978</v>
      </c>
      <c r="W170" s="296">
        <f t="shared" ca="1" si="58"/>
        <v>0.99999999999999978</v>
      </c>
      <c r="X170" s="296">
        <f t="shared" ca="1" si="58"/>
        <v>0.99999999999999978</v>
      </c>
      <c r="Y170" s="296">
        <f t="shared" ca="1" si="58"/>
        <v>0.99999999999999978</v>
      </c>
      <c r="Z170" s="296">
        <f t="shared" ca="1" si="58"/>
        <v>0.99999999999999978</v>
      </c>
      <c r="AA170" s="296">
        <f t="shared" ca="1" si="58"/>
        <v>0.99999999999999978</v>
      </c>
      <c r="AB170" s="296">
        <f t="shared" ca="1" si="58"/>
        <v>0.99999999999999978</v>
      </c>
      <c r="AC170" s="296">
        <f t="shared" ca="1" si="58"/>
        <v>0.99999999999999978</v>
      </c>
      <c r="AD170" s="296">
        <f t="shared" ca="1" si="58"/>
        <v>0.99999999999999978</v>
      </c>
      <c r="AE170" s="297">
        <f t="shared" ca="1" si="58"/>
        <v>0.99999999999999978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12491.859999999997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12491.859999999997</v>
      </c>
      <c r="U172" s="309">
        <f t="array" aca="1" ref="U172" ca="1">T172+SUM((OFFSET($B$13,1,0):OFFSET($B$164,-3,0))*IF(ISNUMBER(OFFSET(U$11,5,0):OFFSET(U$164,-1,0)),OFFSET(U$11,5,0):OFFSET(U$164,-1,0),0))</f>
        <v>20963.049999999996</v>
      </c>
      <c r="V172" s="309">
        <f t="array" aca="1" ref="V172" ca="1">U172+SUM((OFFSET($B$13,1,0):OFFSET($B$164,-3,0))*IF(ISNUMBER(OFFSET(V$11,5,0):OFFSET(V$164,-1,0)),OFFSET(V$11,5,0):OFFSET(V$164,-1,0),0))</f>
        <v>20963.049999999996</v>
      </c>
      <c r="W172" s="309">
        <f t="array" aca="1" ref="W172" ca="1">V172+SUM((OFFSET($B$13,1,0):OFFSET($B$164,-3,0))*IF(ISNUMBER(OFFSET(W$11,5,0):OFFSET(W$164,-1,0)),OFFSET(W$11,5,0):OFFSET(W$164,-1,0),0))</f>
        <v>20963.049999999996</v>
      </c>
      <c r="X172" s="309">
        <f t="array" aca="1" ref="X172" ca="1">W172+SUM((OFFSET($B$13,1,0):OFFSET($B$164,-3,0))*IF(ISNUMBER(OFFSET(X$11,5,0):OFFSET(X$164,-1,0)),OFFSET(X$11,5,0):OFFSET(X$164,-1,0),0))</f>
        <v>20963.049999999996</v>
      </c>
      <c r="Y172" s="309">
        <f t="array" aca="1" ref="Y172" ca="1">X172+SUM((OFFSET($B$13,1,0):OFFSET($B$164,-3,0))*IF(ISNUMBER(OFFSET(Y$11,5,0):OFFSET(Y$164,-1,0)),OFFSET(Y$11,5,0):OFFSET(Y$164,-1,0),0))</f>
        <v>20963.049999999996</v>
      </c>
      <c r="Z172" s="309">
        <f t="array" aca="1" ref="Z172" ca="1">Y172+SUM((OFFSET($B$13,1,0):OFFSET($B$164,-3,0))*IF(ISNUMBER(OFFSET(Z$11,5,0):OFFSET(Z$164,-1,0)),OFFSET(Z$11,5,0):OFFSET(Z$164,-1,0),0))</f>
        <v>20963.049999999996</v>
      </c>
      <c r="AA172" s="309">
        <f t="array" aca="1" ref="AA172" ca="1">Z172+SUM((OFFSET($B$13,1,0):OFFSET($B$164,-3,0))*IF(ISNUMBER(OFFSET(AA$11,5,0):OFFSET(AA$164,-1,0)),OFFSET(AA$11,5,0):OFFSET(AA$164,-1,0),0))</f>
        <v>20963.049999999996</v>
      </c>
      <c r="AB172" s="309">
        <f t="array" aca="1" ref="AB172" ca="1">AA172+SUM((OFFSET($B$13,1,0):OFFSET($B$164,-3,0))*IF(ISNUMBER(OFFSET(AB$11,5,0):OFFSET(AB$164,-1,0)),OFFSET(AB$11,5,0):OFFSET(AB$164,-1,0),0))</f>
        <v>20963.049999999996</v>
      </c>
      <c r="AC172" s="309">
        <f t="array" aca="1" ref="AC172" ca="1">AB172+SUM((OFFSET($B$13,1,0):OFFSET($B$164,-3,0))*IF(ISNUMBER(OFFSET(AC$11,5,0):OFFSET(AC$164,-1,0)),OFFSET(AC$11,5,0):OFFSET(AC$164,-1,0),0))</f>
        <v>20963.049999999996</v>
      </c>
      <c r="AD172" s="309">
        <f t="array" aca="1" ref="AD172" ca="1">AC172+SUM((OFFSET($B$13,1,0):OFFSET($B$164,-3,0))*IF(ISNUMBER(OFFSET(AD$11,5,0):OFFSET(AD$164,-1,0)),OFFSET(AD$11,5,0):OFFSET(AD$164,-1,0),0))</f>
        <v>20963.049999999996</v>
      </c>
      <c r="AE172" s="310">
        <f t="array" aca="1" ref="AE172" ca="1">AD172+SUM((OFFSET($B$13,1,0):OFFSET($B$164,-3,0))*IF(ISNUMBER(OFFSET(AE$11,5,0):OFFSET(AE$164,-1,0)),OFFSET(AE$11,5,0):OFFSET(AE$164,-1,0),0))</f>
        <v>20963.049999999996</v>
      </c>
      <c r="AF172" s="240">
        <f ca="1">AE172+SUMPRODUCT((OFFSET($C$13,1,0):OFFSET($C$164,-3,0))*IF(ISNUMBER(OFFSET(AF$11,5,0):OFFSET(AF$164,-1,0)),OFFSET(AF$11,5,0):OFFSET(AF$164,-1,0),0))</f>
        <v>20963.049999999996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12491.859999999999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12491.859999999999</v>
      </c>
      <c r="U174" s="321">
        <f t="shared" ref="U174:AF174" ca="1" si="60">T174+SUMIF($R$12:$R$164,"1$",U12:U164)</f>
        <v>20963.05</v>
      </c>
      <c r="V174" s="321">
        <f t="shared" ca="1" si="60"/>
        <v>20963.05</v>
      </c>
      <c r="W174" s="321">
        <f t="shared" ca="1" si="60"/>
        <v>20963.05</v>
      </c>
      <c r="X174" s="321">
        <f t="shared" ca="1" si="60"/>
        <v>20963.05</v>
      </c>
      <c r="Y174" s="321">
        <f t="shared" ca="1" si="60"/>
        <v>20963.05</v>
      </c>
      <c r="Z174" s="321">
        <f t="shared" ca="1" si="60"/>
        <v>20963.05</v>
      </c>
      <c r="AA174" s="321">
        <f t="shared" ca="1" si="60"/>
        <v>20963.05</v>
      </c>
      <c r="AB174" s="321">
        <f t="shared" ca="1" si="60"/>
        <v>20963.05</v>
      </c>
      <c r="AC174" s="321">
        <f t="shared" ca="1" si="60"/>
        <v>20963.05</v>
      </c>
      <c r="AD174" s="321">
        <f t="shared" ca="1" si="60"/>
        <v>20963.05</v>
      </c>
      <c r="AE174" s="322">
        <f t="shared" ca="1" si="60"/>
        <v>20963.05</v>
      </c>
      <c r="AF174" s="240">
        <f t="shared" ca="1" si="60"/>
        <v>20963.05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5" t="str">
        <f>Import.Município</f>
        <v>CÉU AZUL</v>
      </c>
      <c r="I176" s="705"/>
      <c r="J176" s="705"/>
      <c r="K176" s="705"/>
      <c r="L176" s="705"/>
      <c r="M176" s="705"/>
      <c r="N176" s="705"/>
      <c r="O176" s="705"/>
      <c r="P176" s="705"/>
      <c r="Q176" s="705"/>
      <c r="R176" s="705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GUSTAVO FRANCESCHINI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5">
        <f>DADOS!$F$25</f>
        <v>45012</v>
      </c>
      <c r="I179" s="715"/>
      <c r="J179" s="715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126178/D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>ART/RRT: 1720231313229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G14" activePane="bottomRight" state="frozen"/>
      <selection activeCell="A3" sqref="A3"/>
      <selection pane="topRight" activeCell="D3" sqref="D3"/>
      <selection pane="bottomLeft" activeCell="A13" sqref="A13"/>
      <selection pane="bottomRight" activeCell="H17" sqref="H17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/>
      </c>
    </row>
    <row r="11" spans="1:31" ht="65.25" customHeight="1" x14ac:dyDescent="0.2">
      <c r="A11" s="331"/>
      <c r="C11" s="332"/>
      <c r="E11" s="333" t="str">
        <f ca="1">IF(E$12&gt;CÁLCULO.NúmeroDeFrentes,"",OFFSET(CÁLCULO!$P$12,0,E$12))</f>
        <v>BASE PARQUE ADAPTADO</v>
      </c>
      <c r="G11" s="333" t="str">
        <f ca="1">IF(G$12&gt;CÁLCULO.NúmeroDeFrentes,"",OFFSET(CÁLCULO!$P$12,0,G$12))</f>
        <v>BASE PARQUE ADAPTADO</v>
      </c>
      <c r="H11" s="333" t="str">
        <f ca="1">IF(H$12&gt;CÁLCULO.NúmeroDeFrentes,"",OFFSET(CÁLCULO!$P$12,0,H$12))</f>
        <v>BASE ACADEMIA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SERVIÇOS CONTRATADOS</v>
      </c>
      <c r="E16" s="329"/>
      <c r="G16" s="329">
        <v>1</v>
      </c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SERVIÇOS CONTRATADOS</v>
      </c>
      <c r="E17" s="329"/>
      <c r="G17" s="329"/>
      <c r="H17" s="329">
        <v>2</v>
      </c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/>
      </c>
      <c r="B18" s="327">
        <f t="shared" ca="1" si="1"/>
        <v>4</v>
      </c>
      <c r="C18" s="328">
        <f ca="1">IF(AUTOEVENTO="Manual",IF($B18&lt;&gt;1,OFFSET(EVENTOS!$D$14,$B18,0),0),IF(B18&lt;=MAX(CÁLCULO!$M$15:$M$266),VLOOKUP($B18,CÁLCULO!$M$15:$N$266,2,FALSE),0))</f>
        <v>0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/>
      </c>
      <c r="B19" s="327">
        <f t="shared" ca="1" si="1"/>
        <v>5</v>
      </c>
      <c r="C19" s="328">
        <f ca="1">IF(AUTOEVENTO="Manual",IF($B19&lt;&gt;1,OFFSET(EVENTOS!$D$14,$B19,0),0),IF(B19&lt;=MAX(CÁLCULO!$M$15:$M$266),VLOOKUP($B19,CÁLCULO!$M$15:$N$266,2,FALSE),0))</f>
        <v>0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/>
      </c>
      <c r="B20" s="327">
        <f t="shared" ca="1" si="1"/>
        <v>6</v>
      </c>
      <c r="C20" s="328">
        <f ca="1">IF(AUTOEVENTO="Manual",IF($B20&lt;&gt;1,OFFSET(EVENTOS!$D$14,$B20,0),0),IF(B20&lt;=MAX(CÁLCULO!$M$15:$M$266),VLOOKUP($B20,CÁLCULO!$M$15:$N$266,2,FALSE),0))</f>
        <v>0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2" t="e">
        <f ca="1">IF(AUTOEVENTO="Manual",IF($B1&lt;&gt;1,OFFSET(EVENTOS!$D$14,$B1,0),0),IF(B1&lt;=MAX(CÁLCULO!$M$15:$M$266),VLOOKUP($B1,CÁLCULO!$M$15:$N$266,2,FALSE),0))</f>
        <v>#REF!</v>
      </c>
      <c r="D1" s="742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7" t="s">
        <v>139</v>
      </c>
      <c r="AE3" s="687"/>
      <c r="AF3" s="687"/>
    </row>
    <row r="4" spans="1:33" ht="15.75" x14ac:dyDescent="0.2">
      <c r="B4" s="103"/>
      <c r="C4" s="103"/>
      <c r="H4" s="107" t="str">
        <f>import.recurso</f>
        <v>(SELECIONAR)</v>
      </c>
      <c r="AD4" s="688" t="s">
        <v>142</v>
      </c>
      <c r="AE4" s="688"/>
      <c r="AF4" s="688"/>
    </row>
    <row r="6" spans="1:33" x14ac:dyDescent="0.2">
      <c r="B6" s="268" t="s">
        <v>440</v>
      </c>
      <c r="C6" s="344"/>
      <c r="D6" s="270" t="s">
        <v>441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5" t="str">
        <f>IF(TIPOORCAMENTO="Licitado","Nº CTEF","")</f>
        <v/>
      </c>
      <c r="AF6" s="745"/>
    </row>
    <row r="7" spans="1:33" x14ac:dyDescent="0.2">
      <c r="B7" s="720">
        <f>Import.CR</f>
        <v>0</v>
      </c>
      <c r="C7" s="720"/>
      <c r="D7" s="274">
        <f>Import.SICONV</f>
        <v>0</v>
      </c>
      <c r="E7" s="55"/>
      <c r="H7" s="719" t="str">
        <f>Import.Proponente</f>
        <v>MUNICÍPIO DE CÉU AZUL</v>
      </c>
      <c r="I7" s="719"/>
      <c r="J7" s="719"/>
      <c r="K7" s="719"/>
      <c r="L7" s="719"/>
      <c r="M7" s="719"/>
      <c r="N7" s="719"/>
      <c r="O7" s="720" t="str">
        <f>Import.Apelido</f>
        <v>EXECUÇÃO DE BASES PARA INSTALAÇÃO DE PARQUE ADAPTADO E ACADEMIA AO AR LIVRE</v>
      </c>
      <c r="P7" s="720"/>
      <c r="Q7" s="720"/>
      <c r="R7" s="720"/>
      <c r="S7" s="720"/>
      <c r="T7" s="720"/>
      <c r="U7" s="720"/>
      <c r="V7" s="720" t="str">
        <f>IF(TIPOORCAMENTO="Licitado",Import.empresa,Import.DescLote)</f>
        <v>BASE EM CONCRETO ARMADO</v>
      </c>
      <c r="W7" s="720"/>
      <c r="X7" s="720"/>
      <c r="Y7" s="720"/>
      <c r="Z7" s="720"/>
      <c r="AA7" s="720"/>
      <c r="AB7" s="720"/>
      <c r="AC7" s="720"/>
      <c r="AD7" s="720"/>
      <c r="AE7" s="749" t="str">
        <f>IF(TIPOORCAMENTO="Licitado",Import.CTEF,"")</f>
        <v/>
      </c>
      <c r="AF7" s="749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7">
        <v>1</v>
      </c>
      <c r="K9" s="747"/>
      <c r="M9" s="348" t="s">
        <v>282</v>
      </c>
      <c r="N9" s="748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8"/>
      <c r="P9" s="748"/>
      <c r="Q9" s="748"/>
      <c r="R9" s="748"/>
      <c r="S9" s="748"/>
      <c r="T9" s="748"/>
      <c r="U9" s="349"/>
      <c r="X9" s="348" t="s">
        <v>294</v>
      </c>
      <c r="Y9" s="750">
        <f ca="1">OFFSET($I$69,1+8*(ROUNDUP(($J$9-0)/((COLUMN($AG$14)-COLUMN($G$14)-1)/25*12),0)-1),ROUNDDOWN((($J$9-0)-OFFSET($I$69,8*(ROUNDUP(($J$9-0)/((COLUMN($AG$14)-COLUMN($G$14)-1)/25*12),0)-1),0))*(2+1/12),0))</f>
        <v>0</v>
      </c>
      <c r="Z9" s="750"/>
      <c r="AD9" s="348" t="s">
        <v>295</v>
      </c>
      <c r="AE9" s="750">
        <f ca="1">OFFSET($I$69,3+8*(ROUNDUP(($J$9-0)/((COLUMN($AG$14)-COLUMN($G$14)-1)/25*12),0)-1),ROUNDDOWN((($J$9-0)-OFFSET($I$69,8*(ROUNDUP(($J$9-0)/((COLUMN($AG$14)-COLUMN($G$14)-1)/25*12),0)-1),0))*(2+1/12),0))</f>
        <v>0</v>
      </c>
      <c r="AF9" s="750"/>
    </row>
    <row r="11" spans="1:33" ht="65.25" customHeight="1" x14ac:dyDescent="0.2">
      <c r="A11" s="331" t="s">
        <v>289</v>
      </c>
      <c r="C11" s="746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6"/>
      <c r="F11" s="333" t="str">
        <f ca="1">IF(F$12&gt;CÁLCULO.NúmeroDeFrentes,"",OFFSET(CÁLCULO!$P$12,0,F$12))</f>
        <v>BASE PARQUE ADAPTADO</v>
      </c>
      <c r="H11" s="333" t="str">
        <f ca="1">IF(H$12&gt;CÁLCULO.NúmeroDeFrentes,"",OFFSET(CÁLCULO!$P$12,0,H$12))</f>
        <v>BASE PARQUE ADAPTADO</v>
      </c>
      <c r="I11" s="333" t="str">
        <f ca="1">IF(I$12&gt;CÁLCULO.NúmeroDeFrentes,"",OFFSET(CÁLCULO!$P$12,0,I$12))</f>
        <v>BASE ACADEMIA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4" t="s">
        <v>268</v>
      </c>
      <c r="D15" s="744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2" t="str">
        <f ca="1">IF(AUTOEVENTO="Manual",IF($B16&lt;&gt;1,OFFSET(EVENTOS!$D$14,$B16,0),0),IF(B16&lt;=MAX(CÁLCULO!$M$15:$M$266),VLOOKUP($B16,CÁLCULO!$M$15:$N$266,2,FALSE),0))</f>
        <v>SERVIÇOS CONTRATADOS</v>
      </c>
      <c r="D16" s="742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2" t="str">
        <f ca="1">IF(AUTOEVENTO="Manual",IF($B17&lt;&gt;1,OFFSET(EVENTOS!$D$14,$B17,0),0),IF(B17&lt;=MAX(CÁLCULO!$M$15:$M$266),VLOOKUP($B17,CÁLCULO!$M$15:$N$266,2,FALSE),0))</f>
        <v>SERVIÇOS CONTRATADOS</v>
      </c>
      <c r="D17" s="742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/>
      </c>
      <c r="B18" s="327">
        <f t="shared" ca="1" si="1"/>
        <v>4</v>
      </c>
      <c r="C18" s="742">
        <f ca="1">IF(AUTOEVENTO="Manual",IF($B18&lt;&gt;1,OFFSET(EVENTOS!$D$14,$B18,0),0),IF(B18&lt;=MAX(CÁLCULO!$M$15:$M$266),VLOOKUP($B18,CÁLCULO!$M$15:$N$266,2,FALSE),0))</f>
        <v>0</v>
      </c>
      <c r="D18" s="742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/>
      </c>
      <c r="B19" s="327">
        <f t="shared" ca="1" si="1"/>
        <v>5</v>
      </c>
      <c r="C19" s="742">
        <f ca="1">IF(AUTOEVENTO="Manual",IF($B19&lt;&gt;1,OFFSET(EVENTOS!$D$14,$B19,0),0),IF(B19&lt;=MAX(CÁLCULO!$M$15:$M$266),VLOOKUP($B19,CÁLCULO!$M$15:$N$266,2,FALSE),0))</f>
        <v>0</v>
      </c>
      <c r="D19" s="742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/>
      </c>
      <c r="B20" s="327">
        <f t="shared" ca="1" si="1"/>
        <v>6</v>
      </c>
      <c r="C20" s="742">
        <f ca="1">IF(AUTOEVENTO="Manual",IF($B20&lt;&gt;1,OFFSET(EVENTOS!$D$14,$B20,0),0),IF(B20&lt;=MAX(CÁLCULO!$M$15:$M$266),VLOOKUP($B20,CÁLCULO!$M$15:$N$266,2,FALSE),0))</f>
        <v>0</v>
      </c>
      <c r="D20" s="742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42">
        <f ca="1">IF(AUTOEVENTO="Manual",IF($B21&lt;&gt;1,OFFSET(EVENTOS!$D$14,$B21,0),0),IF(B21&lt;=MAX(CÁLCULO!$M$15:$M$266),VLOOKUP($B21,CÁLCULO!$M$15:$N$266,2,FALSE),0))</f>
        <v>0</v>
      </c>
      <c r="D21" s="742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42">
        <f ca="1">IF(AUTOEVENTO="Manual",IF($B22&lt;&gt;1,OFFSET(EVENTOS!$D$14,$B22,0),0),IF(B22&lt;=MAX(CÁLCULO!$M$15:$M$266),VLOOKUP($B22,CÁLCULO!$M$15:$N$266,2,FALSE),0))</f>
        <v>0</v>
      </c>
      <c r="D22" s="742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42">
        <f ca="1">IF(AUTOEVENTO="Manual",IF($B23&lt;&gt;1,OFFSET(EVENTOS!$D$14,$B23,0),0),IF(B23&lt;=MAX(CÁLCULO!$M$15:$M$266),VLOOKUP($B23,CÁLCULO!$M$15:$N$266,2,FALSE),0))</f>
        <v>0</v>
      </c>
      <c r="D23" s="742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42">
        <f ca="1">IF(AUTOEVENTO="Manual",IF($B24&lt;&gt;1,OFFSET(EVENTOS!$D$14,$B24,0),0),IF(B24&lt;=MAX(CÁLCULO!$M$15:$M$266),VLOOKUP($B24,CÁLCULO!$M$15:$N$266,2,FALSE),0))</f>
        <v>0</v>
      </c>
      <c r="D24" s="742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2">
        <f ca="1">IF(AUTOEVENTO="Manual",IF($B25&lt;&gt;1,OFFSET(EVENTOS!$D$14,$B25,0),0),IF(B25&lt;=MAX(CÁLCULO!$M$15:$M$266),VLOOKUP($B25,CÁLCULO!$M$15:$N$266,2,FALSE),0))</f>
        <v>0</v>
      </c>
      <c r="D25" s="742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2">
        <f ca="1">IF(AUTOEVENTO="Manual",IF($B26&lt;&gt;1,OFFSET(EVENTOS!$D$14,$B26,0),0),IF(B26&lt;=MAX(CÁLCULO!$M$15:$M$266),VLOOKUP($B26,CÁLCULO!$M$15:$N$266,2,FALSE),0))</f>
        <v>0</v>
      </c>
      <c r="D26" s="742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2">
        <f ca="1">IF(AUTOEVENTO="Manual",IF($B27&lt;&gt;1,OFFSET(EVENTOS!$D$14,$B27,0),0),IF(B27&lt;=MAX(CÁLCULO!$M$15:$M$266),VLOOKUP($B27,CÁLCULO!$M$15:$N$266,2,FALSE),0))</f>
        <v>0</v>
      </c>
      <c r="D27" s="742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2">
        <f ca="1">IF(AUTOEVENTO="Manual",IF($B28&lt;&gt;1,OFFSET(EVENTOS!$D$14,$B28,0),0),IF(B28&lt;=MAX(CÁLCULO!$M$15:$M$266),VLOOKUP($B28,CÁLCULO!$M$15:$N$266,2,FALSE),0))</f>
        <v>0</v>
      </c>
      <c r="D28" s="742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2">
        <f ca="1">IF(AUTOEVENTO="Manual",IF($B29&lt;&gt;1,OFFSET(EVENTOS!$D$14,$B29,0),0),IF(B29&lt;=MAX(CÁLCULO!$M$15:$M$266),VLOOKUP($B29,CÁLCULO!$M$15:$N$266,2,FALSE),0))</f>
        <v>0</v>
      </c>
      <c r="D29" s="742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2">
        <f ca="1">IF(AUTOEVENTO="Manual",IF($B30&lt;&gt;1,OFFSET(EVENTOS!$D$14,$B30,0),0),IF(B30&lt;=MAX(CÁLCULO!$M$15:$M$266),VLOOKUP($B30,CÁLCULO!$M$15:$N$266,2,FALSE),0))</f>
        <v>0</v>
      </c>
      <c r="D30" s="742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2">
        <f ca="1">IF(AUTOEVENTO="Manual",IF($B31&lt;&gt;1,OFFSET(EVENTOS!$D$14,$B31,0),0),IF(B31&lt;=MAX(CÁLCULO!$M$15:$M$266),VLOOKUP($B31,CÁLCULO!$M$15:$N$266,2,FALSE),0))</f>
        <v>0</v>
      </c>
      <c r="D31" s="742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2">
        <f ca="1">IF(AUTOEVENTO="Manual",IF($B32&lt;&gt;1,OFFSET(EVENTOS!$D$14,$B32,0),0),IF(B32&lt;=MAX(CÁLCULO!$M$15:$M$266),VLOOKUP($B32,CÁLCULO!$M$15:$N$266,2,FALSE),0))</f>
        <v>0</v>
      </c>
      <c r="D32" s="742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2">
        <f ca="1">IF(AUTOEVENTO="Manual",IF($B33&lt;&gt;1,OFFSET(EVENTOS!$D$14,$B33,0),0),IF(B33&lt;=MAX(CÁLCULO!$M$15:$M$266),VLOOKUP($B33,CÁLCULO!$M$15:$N$266,2,FALSE),0))</f>
        <v>0</v>
      </c>
      <c r="D33" s="742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2">
        <f ca="1">IF(AUTOEVENTO="Manual",IF($B34&lt;&gt;1,OFFSET(EVENTOS!$D$14,$B34,0),0),IF(B34&lt;=MAX(CÁLCULO!$M$15:$M$266),VLOOKUP($B34,CÁLCULO!$M$15:$N$266,2,FALSE),0))</f>
        <v>0</v>
      </c>
      <c r="D34" s="742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2">
        <f ca="1">IF(AUTOEVENTO="Manual",IF($B35&lt;&gt;1,OFFSET(EVENTOS!$D$14,$B35,0),0),IF(B35&lt;=MAX(CÁLCULO!$M$15:$M$266),VLOOKUP($B35,CÁLCULO!$M$15:$N$266,2,FALSE),0))</f>
        <v>0</v>
      </c>
      <c r="D35" s="742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2">
        <f ca="1">IF(AUTOEVENTO="Manual",IF($B36&lt;&gt;1,OFFSET(EVENTOS!$D$14,$B36,0),0),IF(B36&lt;=MAX(CÁLCULO!$M$15:$M$266),VLOOKUP($B36,CÁLCULO!$M$15:$N$266,2,FALSE),0))</f>
        <v>0</v>
      </c>
      <c r="D36" s="742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2">
        <f ca="1">IF(AUTOEVENTO="Manual",IF($B37&lt;&gt;1,OFFSET(EVENTOS!$D$14,$B37,0),0),IF(B37&lt;=MAX(CÁLCULO!$M$15:$M$266),VLOOKUP($B37,CÁLCULO!$M$15:$N$266,2,FALSE),0))</f>
        <v>0</v>
      </c>
      <c r="D37" s="742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2">
        <f ca="1">IF(AUTOEVENTO="Manual",IF($B38&lt;&gt;1,OFFSET(EVENTOS!$D$14,$B38,0),0),IF(B38&lt;=MAX(CÁLCULO!$M$15:$M$266),VLOOKUP($B38,CÁLCULO!$M$15:$N$266,2,FALSE),0))</f>
        <v>0</v>
      </c>
      <c r="D38" s="742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2">
        <f ca="1">IF(AUTOEVENTO="Manual",IF($B39&lt;&gt;1,OFFSET(EVENTOS!$D$14,$B39,0),0),IF(B39&lt;=MAX(CÁLCULO!$M$15:$M$266),VLOOKUP($B39,CÁLCULO!$M$15:$N$266,2,FALSE),0))</f>
        <v>0</v>
      </c>
      <c r="D39" s="742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2">
        <f ca="1">IF(AUTOEVENTO="Manual",IF($B40&lt;&gt;1,OFFSET(EVENTOS!$D$14,$B40,0),0),IF(B40&lt;=MAX(CÁLCULO!$M$15:$M$266),VLOOKUP($B40,CÁLCULO!$M$15:$N$266,2,FALSE),0))</f>
        <v>0</v>
      </c>
      <c r="D40" s="742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2">
        <f ca="1">IF(AUTOEVENTO="Manual",IF($B41&lt;&gt;1,OFFSET(EVENTOS!$D$14,$B41,0),0),IF(B41&lt;=MAX(CÁLCULO!$M$15:$M$266),VLOOKUP($B41,CÁLCULO!$M$15:$N$266,2,FALSE),0))</f>
        <v>0</v>
      </c>
      <c r="D41" s="742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2">
        <f ca="1">IF(AUTOEVENTO="Manual",IF($B42&lt;&gt;1,OFFSET(EVENTOS!$D$14,$B42,0),0),IF(B42&lt;=MAX(CÁLCULO!$M$15:$M$266),VLOOKUP($B42,CÁLCULO!$M$15:$N$266,2,FALSE),0))</f>
        <v>0</v>
      </c>
      <c r="D42" s="742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2">
        <f ca="1">IF(AUTOEVENTO="Manual",IF($B43&lt;&gt;1,OFFSET(EVENTOS!$D$14,$B43,0),0),IF(B43&lt;=MAX(CÁLCULO!$M$15:$M$266),VLOOKUP($B43,CÁLCULO!$M$15:$N$266,2,FALSE),0))</f>
        <v>0</v>
      </c>
      <c r="D43" s="742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2">
        <f ca="1">IF(AUTOEVENTO="Manual",IF($B44&lt;&gt;1,OFFSET(EVENTOS!$D$14,$B44,0),0),IF(B44&lt;=MAX(CÁLCULO!$M$15:$M$266),VLOOKUP($B44,CÁLCULO!$M$15:$N$266,2,FALSE),0))</f>
        <v>0</v>
      </c>
      <c r="D44" s="742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2">
        <f ca="1">IF(AUTOEVENTO="Manual",IF($B45&lt;&gt;1,OFFSET(EVENTOS!$D$14,$B45,0),0),IF(B45&lt;=MAX(CÁLCULO!$M$15:$M$266),VLOOKUP($B45,CÁLCULO!$M$15:$N$266,2,FALSE),0))</f>
        <v>0</v>
      </c>
      <c r="D45" s="742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2">
        <f ca="1">IF(AUTOEVENTO="Manual",IF($B46&lt;&gt;1,OFFSET(EVENTOS!$D$14,$B46,0),0),IF(B46&lt;=MAX(CÁLCULO!$M$15:$M$266),VLOOKUP($B46,CÁLCULO!$M$15:$N$266,2,FALSE),0))</f>
        <v>0</v>
      </c>
      <c r="D46" s="742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2">
        <f ca="1">IF(AUTOEVENTO="Manual",IF($B47&lt;&gt;1,OFFSET(EVENTOS!$D$14,$B47,0),0),IF(B47&lt;=MAX(CÁLCULO!$M$15:$M$266),VLOOKUP($B47,CÁLCULO!$M$15:$N$266,2,FALSE),0))</f>
        <v>0</v>
      </c>
      <c r="D47" s="742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2">
        <f ca="1">IF(AUTOEVENTO="Manual",IF($B48&lt;&gt;1,OFFSET(EVENTOS!$D$14,$B48,0),0),IF(B48&lt;=MAX(CÁLCULO!$M$15:$M$266),VLOOKUP($B48,CÁLCULO!$M$15:$N$266,2,FALSE),0))</f>
        <v>0</v>
      </c>
      <c r="D48" s="742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2">
        <f ca="1">IF(AUTOEVENTO="Manual",IF($B49&lt;&gt;1,OFFSET(EVENTOS!$D$14,$B49,0),0),IF(B49&lt;=MAX(CÁLCULO!$M$15:$M$266),VLOOKUP($B49,CÁLCULO!$M$15:$N$266,2,FALSE),0))</f>
        <v>0</v>
      </c>
      <c r="D49" s="742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2">
        <f ca="1">IF(AUTOEVENTO="Manual",IF($B50&lt;&gt;1,OFFSET(EVENTOS!$D$14,$B50,0),0),IF(B50&lt;=MAX(CÁLCULO!$M$15:$M$266),VLOOKUP($B50,CÁLCULO!$M$15:$N$266,2,FALSE),0))</f>
        <v>0</v>
      </c>
      <c r="D50" s="742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2">
        <f ca="1">IF(AUTOEVENTO="Manual",IF($B51&lt;&gt;1,OFFSET(EVENTOS!$D$14,$B51,0),0),IF(B51&lt;=MAX(CÁLCULO!$M$15:$M$266),VLOOKUP($B51,CÁLCULO!$M$15:$N$266,2,FALSE),0))</f>
        <v>0</v>
      </c>
      <c r="D51" s="742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2">
        <f ca="1">IF(AUTOEVENTO="Manual",IF($B52&lt;&gt;1,OFFSET(EVENTOS!$D$14,$B52,0),0),IF(B52&lt;=MAX(CÁLCULO!$M$15:$M$266),VLOOKUP($B52,CÁLCULO!$M$15:$N$266,2,FALSE),0))</f>
        <v>0</v>
      </c>
      <c r="D52" s="742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2">
        <f ca="1">IF(AUTOEVENTO="Manual",IF($B53&lt;&gt;1,OFFSET(EVENTOS!$D$14,$B53,0),0),IF(B53&lt;=MAX(CÁLCULO!$M$15:$M$266),VLOOKUP($B53,CÁLCULO!$M$15:$N$266,2,FALSE),0))</f>
        <v>0</v>
      </c>
      <c r="D53" s="742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2">
        <f ca="1">IF(AUTOEVENTO="Manual",IF($B54&lt;&gt;1,OFFSET(EVENTOS!$D$14,$B54,0),0),IF(B54&lt;=MAX(CÁLCULO!$M$15:$M$266),VLOOKUP($B54,CÁLCULO!$M$15:$N$266,2,FALSE),0))</f>
        <v>0</v>
      </c>
      <c r="D54" s="742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2">
        <f ca="1">IF(AUTOEVENTO="Manual",IF($B55&lt;&gt;1,OFFSET(EVENTOS!$D$14,$B55,0),0),IF(B55&lt;=MAX(CÁLCULO!$M$15:$M$266),VLOOKUP($B55,CÁLCULO!$M$15:$N$266,2,FALSE),0))</f>
        <v>0</v>
      </c>
      <c r="D55" s="742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2">
        <f ca="1">IF(AUTOEVENTO="Manual",IF($B56&lt;&gt;1,OFFSET(EVENTOS!$D$14,$B56,0),0),IF(B56&lt;=MAX(CÁLCULO!$M$15:$M$266),VLOOKUP($B56,CÁLCULO!$M$15:$N$266,2,FALSE),0))</f>
        <v>0</v>
      </c>
      <c r="D56" s="742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2">
        <f ca="1">IF(AUTOEVENTO="Manual",IF($B57&lt;&gt;1,OFFSET(EVENTOS!$D$14,$B57,0),0),IF(B57&lt;=MAX(CÁLCULO!$M$15:$M$266),VLOOKUP($B57,CÁLCULO!$M$15:$N$266,2,FALSE),0))</f>
        <v>0</v>
      </c>
      <c r="D57" s="742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2">
        <f ca="1">IF(AUTOEVENTO="Manual",IF($B58&lt;&gt;1,OFFSET(EVENTOS!$D$14,$B58,0),0),IF(B58&lt;=MAX(CÁLCULO!$M$15:$M$266),VLOOKUP($B58,CÁLCULO!$M$15:$N$266,2,FALSE),0))</f>
        <v>0</v>
      </c>
      <c r="D58" s="742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2">
        <f ca="1">IF(AUTOEVENTO="Manual",IF($B59&lt;&gt;1,OFFSET(EVENTOS!$D$14,$B59,0),0),IF(B59&lt;=MAX(CÁLCULO!$M$15:$M$266),VLOOKUP($B59,CÁLCULO!$M$15:$N$266,2,FALSE),0))</f>
        <v>0</v>
      </c>
      <c r="D59" s="742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2">
        <f ca="1">IF(AUTOEVENTO="Manual",IF($B60&lt;&gt;1,OFFSET(EVENTOS!$D$14,$B60,0),0),IF(B60&lt;=MAX(CÁLCULO!$M$15:$M$266),VLOOKUP($B60,CÁLCULO!$M$15:$N$266,2,FALSE),0))</f>
        <v>0</v>
      </c>
      <c r="D60" s="742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2">
        <f ca="1">IF(AUTOEVENTO="Manual",IF($B61&lt;&gt;1,OFFSET(EVENTOS!$D$14,$B61,0),0),IF(B61&lt;=MAX(CÁLCULO!$M$15:$M$266),VLOOKUP($B61,CÁLCULO!$M$15:$N$266,2,FALSE),0))</f>
        <v>0</v>
      </c>
      <c r="D61" s="742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2">
        <f ca="1">IF(AUTOEVENTO="Manual",IF($B62&lt;&gt;1,OFFSET(EVENTOS!$D$14,$B62,0),0),IF(B62&lt;=MAX(CÁLCULO!$M$15:$M$266),VLOOKUP($B62,CÁLCULO!$M$15:$N$266,2,FALSE),0))</f>
        <v>0</v>
      </c>
      <c r="D62" s="742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2">
        <f ca="1">IF(AUTOEVENTO="Manual",IF($B63&lt;&gt;1,OFFSET(EVENTOS!$D$14,$B63,0),0),IF(B63&lt;=MAX(CÁLCULO!$M$15:$M$266),VLOOKUP($B63,CÁLCULO!$M$15:$N$266,2,FALSE),0))</f>
        <v>0</v>
      </c>
      <c r="D63" s="742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2">
        <f ca="1">IF(AUTOEVENTO="Manual",IF($B64&lt;&gt;1,OFFSET(EVENTOS!$D$14,$B64,0),0),IF(B64&lt;=MAX(CÁLCULO!$M$15:$M$266),VLOOKUP($B64,CÁLCULO!$M$15:$N$266,2,FALSE),0))</f>
        <v>0</v>
      </c>
      <c r="D64" s="742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3" t="s">
        <v>297</v>
      </c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</row>
    <row r="68" spans="1:32" x14ac:dyDescent="0.2">
      <c r="A68" s="9" t="s">
        <v>245</v>
      </c>
      <c r="H68" s="582"/>
      <c r="I68" s="730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41"/>
    </row>
    <row r="69" spans="1:32" x14ac:dyDescent="0.2">
      <c r="A69" s="9" t="s">
        <v>245</v>
      </c>
      <c r="D69" s="351" t="s">
        <v>298</v>
      </c>
      <c r="I69" s="728">
        <f>IF(PLE.Medicao&lt;=12,1,TRUNC((PLE.Medicao - 2)/11,0) * 11 + 1)</f>
        <v>1</v>
      </c>
      <c r="J69" s="728"/>
      <c r="K69" s="728">
        <f>I69+1</f>
        <v>2</v>
      </c>
      <c r="L69" s="728"/>
      <c r="M69" s="728">
        <f>K69+1</f>
        <v>3</v>
      </c>
      <c r="N69" s="728"/>
      <c r="O69" s="728">
        <f>M69+1</f>
        <v>4</v>
      </c>
      <c r="P69" s="728"/>
      <c r="Q69" s="728">
        <f>O69+1</f>
        <v>5</v>
      </c>
      <c r="R69" s="728"/>
      <c r="S69" s="728">
        <f>Q69+1</f>
        <v>6</v>
      </c>
      <c r="T69" s="728"/>
      <c r="U69" s="728">
        <f>S69+1</f>
        <v>7</v>
      </c>
      <c r="V69" s="728"/>
      <c r="W69" s="728">
        <f>U69+1</f>
        <v>8</v>
      </c>
      <c r="X69" s="728"/>
      <c r="Y69" s="728">
        <f>W69+1</f>
        <v>9</v>
      </c>
      <c r="Z69" s="728"/>
      <c r="AA69" s="728">
        <f>Y69+1</f>
        <v>10</v>
      </c>
      <c r="AB69" s="728"/>
      <c r="AC69" s="728">
        <f>AA69+1</f>
        <v>11</v>
      </c>
      <c r="AD69" s="728"/>
      <c r="AE69" s="728">
        <f>AC69+1</f>
        <v>12</v>
      </c>
      <c r="AF69" s="728"/>
    </row>
    <row r="70" spans="1:32" x14ac:dyDescent="0.2">
      <c r="A70" s="9" t="s">
        <v>245</v>
      </c>
      <c r="D70" s="738" t="s">
        <v>282</v>
      </c>
      <c r="H70" s="352" t="s">
        <v>299</v>
      </c>
      <c r="I70" s="729">
        <f ca="1">ROUND(I71,2)/ORÇAMENTO!$X$15</f>
        <v>0</v>
      </c>
      <c r="J70" s="729"/>
      <c r="K70" s="734">
        <f ca="1">ROUND(K71,2)/ORÇAMENTO!$X$15</f>
        <v>0</v>
      </c>
      <c r="L70" s="734"/>
      <c r="M70" s="735">
        <f ca="1">ROUND(M71,2)/ORÇAMENTO!$X$15</f>
        <v>0</v>
      </c>
      <c r="N70" s="735"/>
      <c r="O70" s="734">
        <f ca="1">ROUND(O71,2)/ORÇAMENTO!$X$15</f>
        <v>0</v>
      </c>
      <c r="P70" s="734"/>
      <c r="Q70" s="735">
        <f ca="1">ROUND(Q71,2)/ORÇAMENTO!$X$15</f>
        <v>0</v>
      </c>
      <c r="R70" s="735"/>
      <c r="S70" s="734">
        <f ca="1">ROUND(S71,2)/ORÇAMENTO!$X$15</f>
        <v>0</v>
      </c>
      <c r="T70" s="734"/>
      <c r="U70" s="735">
        <f ca="1">ROUND(U71,2)/ORÇAMENTO!$X$15</f>
        <v>0</v>
      </c>
      <c r="V70" s="735"/>
      <c r="W70" s="734">
        <f ca="1">ROUND(W71,2)/ORÇAMENTO!$X$15</f>
        <v>0</v>
      </c>
      <c r="X70" s="734"/>
      <c r="Y70" s="735">
        <f ca="1">ROUND(Y71,2)/ORÇAMENTO!$X$15</f>
        <v>0</v>
      </c>
      <c r="Z70" s="735"/>
      <c r="AA70" s="734">
        <f ca="1">ROUND(AA71,2)/ORÇAMENTO!$X$15</f>
        <v>0</v>
      </c>
      <c r="AB70" s="734"/>
      <c r="AC70" s="735">
        <f ca="1">ROUND(AC71,2)/ORÇAMENTO!$X$15</f>
        <v>0</v>
      </c>
      <c r="AD70" s="735"/>
      <c r="AE70" s="734">
        <f ca="1">ROUND(AE71,2)/ORÇAMENTO!$X$15</f>
        <v>0</v>
      </c>
      <c r="AF70" s="734"/>
    </row>
    <row r="71" spans="1:32" x14ac:dyDescent="0.2">
      <c r="A71" s="9" t="s">
        <v>245</v>
      </c>
      <c r="D71" s="738"/>
      <c r="H71" s="353" t="s">
        <v>300</v>
      </c>
      <c r="I71" s="733">
        <f ca="1">IF(I69=1,I73,ROUND(I73,2)-ROUND(SUMIF(CÁLCULO!$AX$15:$BH$266,"&lt;="&amp;PLE!I69-1,CÁLCULO!$AB$15:$AL$266)*(1+CÁLCULO.TotalAdmLocal/(ORÇAMENTO!$X$15-CÁLCULO.TotalAdmLocal)),2))</f>
        <v>0</v>
      </c>
      <c r="J71" s="733"/>
      <c r="K71" s="733">
        <f ca="1">ROUND(K73,2)-ROUND(I73,2)</f>
        <v>0</v>
      </c>
      <c r="L71" s="733"/>
      <c r="M71" s="732">
        <f ca="1">ROUND(M73,2)-ROUND(K73,2)</f>
        <v>0</v>
      </c>
      <c r="N71" s="732"/>
      <c r="O71" s="733">
        <f ca="1">ROUND(O73,2)-ROUND(M73,2)</f>
        <v>0</v>
      </c>
      <c r="P71" s="733"/>
      <c r="Q71" s="732">
        <f ca="1">ROUND(Q73,2)-ROUND(O73,2)</f>
        <v>0</v>
      </c>
      <c r="R71" s="732"/>
      <c r="S71" s="733">
        <f ca="1">ROUND(S73,2)-ROUND(Q73,2)</f>
        <v>0</v>
      </c>
      <c r="T71" s="733"/>
      <c r="U71" s="732">
        <f ca="1">ROUND(U73,2)-ROUND(S73,2)</f>
        <v>0</v>
      </c>
      <c r="V71" s="732"/>
      <c r="W71" s="733">
        <f ca="1">ROUND(W73,2)-ROUND(U73,2)</f>
        <v>0</v>
      </c>
      <c r="X71" s="733"/>
      <c r="Y71" s="732">
        <f ca="1">ROUND(Y73,2)-ROUND(W73,2)</f>
        <v>0</v>
      </c>
      <c r="Z71" s="732"/>
      <c r="AA71" s="733">
        <f ca="1">ROUND(AA73,2)-ROUND(Y73,2)</f>
        <v>0</v>
      </c>
      <c r="AB71" s="733"/>
      <c r="AC71" s="732">
        <f ca="1">ROUND(AC73,2)-ROUND(AA73,2)</f>
        <v>0</v>
      </c>
      <c r="AD71" s="732"/>
      <c r="AE71" s="733">
        <f ca="1">ROUND(AE73,2)-ROUND(AC73,2)</f>
        <v>0</v>
      </c>
      <c r="AF71" s="733"/>
    </row>
    <row r="72" spans="1:32" x14ac:dyDescent="0.2">
      <c r="A72" s="9" t="s">
        <v>245</v>
      </c>
      <c r="D72" s="738" t="s">
        <v>286</v>
      </c>
      <c r="H72" s="352" t="s">
        <v>299</v>
      </c>
      <c r="I72" s="739">
        <f ca="1">ROUND(I73,2)/ORÇAMENTO!$X$15</f>
        <v>0</v>
      </c>
      <c r="J72" s="739"/>
      <c r="K72" s="736">
        <f ca="1">ROUND(K73,2)/ORÇAMENTO!$X$15</f>
        <v>0</v>
      </c>
      <c r="L72" s="736"/>
      <c r="M72" s="737">
        <f ca="1">ROUND(M73,2)/ORÇAMENTO!$X$15</f>
        <v>0</v>
      </c>
      <c r="N72" s="737"/>
      <c r="O72" s="736">
        <f ca="1">ROUND(O73,2)/ORÇAMENTO!$X$15</f>
        <v>0</v>
      </c>
      <c r="P72" s="736"/>
      <c r="Q72" s="737">
        <f ca="1">ROUND(Q73,2)/ORÇAMENTO!$X$15</f>
        <v>0</v>
      </c>
      <c r="R72" s="737"/>
      <c r="S72" s="736">
        <f ca="1">ROUND(S73,2)/ORÇAMENTO!$X$15</f>
        <v>0</v>
      </c>
      <c r="T72" s="736"/>
      <c r="U72" s="737">
        <f ca="1">ROUND(U73,2)/ORÇAMENTO!$X$15</f>
        <v>0</v>
      </c>
      <c r="V72" s="737"/>
      <c r="W72" s="736">
        <f ca="1">ROUND(W73,2)/ORÇAMENTO!$X$15</f>
        <v>0</v>
      </c>
      <c r="X72" s="736"/>
      <c r="Y72" s="737">
        <f ca="1">ROUND(Y73,2)/ORÇAMENTO!$X$15</f>
        <v>0</v>
      </c>
      <c r="Z72" s="737"/>
      <c r="AA72" s="736">
        <f ca="1">ROUND(AA73,2)/ORÇAMENTO!$X$15</f>
        <v>0</v>
      </c>
      <c r="AB72" s="736"/>
      <c r="AC72" s="737">
        <f ca="1">ROUND(AC73,2)/ORÇAMENTO!$X$15</f>
        <v>0</v>
      </c>
      <c r="AD72" s="737"/>
      <c r="AE72" s="736">
        <f ca="1">ROUND(AE73,2)/ORÇAMENTO!$X$15</f>
        <v>0</v>
      </c>
      <c r="AF72" s="736"/>
    </row>
    <row r="73" spans="1:32" x14ac:dyDescent="0.2">
      <c r="A73" s="9" t="s">
        <v>245</v>
      </c>
      <c r="D73" s="738"/>
      <c r="H73" s="353" t="s">
        <v>300</v>
      </c>
      <c r="I73" s="740">
        <f ca="1">SUMIF(CÁLCULO!$AX$15:$BH$266,"&lt;="&amp;PLE!I69,CÁLCULO!$AB$15:$AL$266)*(1+CÁLCULO.TotalAdmLocal/(ORÇAMENTO!$X$15-CÁLCULO.TotalAdmLocal))</f>
        <v>0</v>
      </c>
      <c r="J73" s="740"/>
      <c r="K73" s="733">
        <f ca="1">SUMIF(CÁLCULO!$AX$15:$BH$266,"&lt;="&amp;PLE!K69,CÁLCULO!$AB$15:$AL$266)*(1+CÁLCULO.TotalAdmLocal/(ORÇAMENTO!$X$15-CÁLCULO.TotalAdmLocal))</f>
        <v>0</v>
      </c>
      <c r="L73" s="733"/>
      <c r="M73" s="732">
        <f ca="1">SUMIF(CÁLCULO!$AX$15:$BH$266,"&lt;="&amp;PLE!M69,CÁLCULO!$AB$15:$AL$266)*(1+CÁLCULO.TotalAdmLocal/(ORÇAMENTO!$X$15-CÁLCULO.TotalAdmLocal))</f>
        <v>0</v>
      </c>
      <c r="N73" s="732"/>
      <c r="O73" s="733">
        <f ca="1">SUMIF(CÁLCULO!$AX$15:$BH$266,"&lt;="&amp;PLE!O69,CÁLCULO!$AB$15:$AL$266)*(1+CÁLCULO.TotalAdmLocal/(ORÇAMENTO!$X$15-CÁLCULO.TotalAdmLocal))</f>
        <v>0</v>
      </c>
      <c r="P73" s="733"/>
      <c r="Q73" s="732">
        <f ca="1">SUMIF(CÁLCULO!$AX$15:$BH$266,"&lt;="&amp;PLE!Q69,CÁLCULO!$AB$15:$AL$266)*(1+CÁLCULO.TotalAdmLocal/(ORÇAMENTO!$X$15-CÁLCULO.TotalAdmLocal))</f>
        <v>0</v>
      </c>
      <c r="R73" s="732"/>
      <c r="S73" s="733">
        <f ca="1">SUMIF(CÁLCULO!$AX$15:$BH$266,"&lt;="&amp;PLE!S69,CÁLCULO!$AB$15:$AL$266)*(1+CÁLCULO.TotalAdmLocal/(ORÇAMENTO!$X$15-CÁLCULO.TotalAdmLocal))</f>
        <v>0</v>
      </c>
      <c r="T73" s="733"/>
      <c r="U73" s="732">
        <f ca="1">SUMIF(CÁLCULO!$AX$15:$BH$266,"&lt;="&amp;PLE!U69,CÁLCULO!$AB$15:$AL$266)*(1+CÁLCULO.TotalAdmLocal/(ORÇAMENTO!$X$15-CÁLCULO.TotalAdmLocal))</f>
        <v>0</v>
      </c>
      <c r="V73" s="732"/>
      <c r="W73" s="733">
        <f ca="1">SUMIF(CÁLCULO!$AX$15:$BH$266,"&lt;="&amp;PLE!W69,CÁLCULO!$AB$15:$AL$266)*(1+CÁLCULO.TotalAdmLocal/(ORÇAMENTO!$X$15-CÁLCULO.TotalAdmLocal))</f>
        <v>0</v>
      </c>
      <c r="X73" s="733"/>
      <c r="Y73" s="732">
        <f ca="1">SUMIF(CÁLCULO!$AX$15:$BH$266,"&lt;="&amp;PLE!Y69,CÁLCULO!$AB$15:$AL$266)*(1+CÁLCULO.TotalAdmLocal/(ORÇAMENTO!$X$15-CÁLCULO.TotalAdmLocal))</f>
        <v>0</v>
      </c>
      <c r="Z73" s="732"/>
      <c r="AA73" s="733">
        <f ca="1">SUMIF(CÁLCULO!$AX$15:$BH$266,"&lt;="&amp;PLE!AA69,CÁLCULO!$AB$15:$AL$266)*(1+CÁLCULO.TotalAdmLocal/(ORÇAMENTO!$X$15-CÁLCULO.TotalAdmLocal))</f>
        <v>0</v>
      </c>
      <c r="AB73" s="733"/>
      <c r="AC73" s="732">
        <f ca="1">SUMIF(CÁLCULO!$AX$15:$BH$266,"&lt;="&amp;PLE!AC69,CÁLCULO!$AB$15:$AL$266)*(1+CÁLCULO.TotalAdmLocal/(ORÇAMENTO!$X$15-CÁLCULO.TotalAdmLocal))</f>
        <v>0</v>
      </c>
      <c r="AD73" s="732"/>
      <c r="AE73" s="733">
        <f ca="1">SUMIF(CÁLCULO!$AX$15:$BH$266,"&lt;="&amp;PLE!AE69,CÁLCULO!$AB$15:$AL$266)*(1+CÁLCULO.TotalAdmLocal/(ORÇAMENTO!$X$15-CÁLCULO.TotalAdmLocal))</f>
        <v>0</v>
      </c>
      <c r="AF73" s="73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5" t="str">
        <f>Import.Município</f>
        <v>CÉU AZUL</v>
      </c>
      <c r="C75" s="705"/>
      <c r="D75" s="705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GUSTAVO FRANCESCHINI</v>
      </c>
      <c r="X77" s="105"/>
    </row>
    <row r="78" spans="1:32" x14ac:dyDescent="0.2">
      <c r="A78" s="9" t="s">
        <v>245</v>
      </c>
      <c r="B78" s="700">
        <f ca="1">DADOS!$F$47</f>
        <v>45014</v>
      </c>
      <c r="C78" s="700"/>
      <c r="D78" s="700"/>
      <c r="E78" s="105"/>
      <c r="I78" s="97"/>
      <c r="K78" s="105"/>
      <c r="U78" s="95" t="s">
        <v>126</v>
      </c>
      <c r="W78" s="354" t="str">
        <v>ENGENHEIRO CIVIL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126178/D</v>
      </c>
      <c r="X79" s="105"/>
    </row>
    <row r="80" spans="1:32" x14ac:dyDescent="0.2">
      <c r="U80" s="95" t="s">
        <v>109</v>
      </c>
      <c r="W80" s="355" t="str">
        <v>1720231313229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 filterMode="1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D13" sqref="D13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3" t="s">
        <v>440</v>
      </c>
      <c r="E3" s="683"/>
      <c r="F3" s="112" t="s">
        <v>441</v>
      </c>
      <c r="G3" s="683" t="s">
        <v>146</v>
      </c>
      <c r="H3" s="683"/>
      <c r="I3" s="683"/>
      <c r="J3" s="756" t="s">
        <v>305</v>
      </c>
      <c r="K3" s="756"/>
      <c r="L3" s="756"/>
      <c r="M3" s="757" t="s">
        <v>306</v>
      </c>
      <c r="N3" s="757"/>
      <c r="O3" s="757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0</v>
      </c>
      <c r="AB3" s="120"/>
    </row>
    <row r="4" spans="1:31" x14ac:dyDescent="0.2">
      <c r="D4" s="686">
        <f>Import.CR</f>
        <v>0</v>
      </c>
      <c r="E4" s="686"/>
      <c r="F4" s="73">
        <f>Import.SICONV</f>
        <v>0</v>
      </c>
      <c r="G4" s="686" t="str">
        <f>Import.Proponente</f>
        <v>MUNICÍPIO DE CÉU AZUL</v>
      </c>
      <c r="H4" s="686"/>
      <c r="I4" s="686"/>
      <c r="J4" s="758" t="str">
        <f>Import.Município</f>
        <v>CÉU AZUL</v>
      </c>
      <c r="K4" s="758"/>
      <c r="L4" s="758"/>
      <c r="M4" s="757"/>
      <c r="N4" s="757"/>
      <c r="O4" s="757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3" t="s">
        <v>201</v>
      </c>
      <c r="E6" s="683"/>
      <c r="F6" s="683"/>
      <c r="G6" s="683"/>
      <c r="H6" s="683"/>
      <c r="I6" s="683"/>
      <c r="J6" s="683"/>
      <c r="K6" s="683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6" t="s">
        <v>208</v>
      </c>
      <c r="D7" s="686" t="str">
        <f>Import.Apelido</f>
        <v>EXECUÇÃO DE BASES PARA INSTALAÇÃO DE PARQUE ADAPTADO E ACADEMIA AO AR LIVRE</v>
      </c>
      <c r="E7" s="686"/>
      <c r="F7" s="686"/>
      <c r="G7" s="686"/>
      <c r="H7" s="686"/>
      <c r="I7" s="686"/>
      <c r="J7" s="686"/>
      <c r="K7" s="686"/>
      <c r="L7" s="360" t="str">
        <f>import.recurso</f>
        <v>(SELECIONAR)</v>
      </c>
      <c r="M7" s="361">
        <f>Import.Repasse</f>
        <v>0</v>
      </c>
      <c r="N7" s="361">
        <f>Import.Contrapartida</f>
        <v>22000.51</v>
      </c>
      <c r="O7" s="361">
        <f>M7+N7</f>
        <v>22000.51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6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6"/>
      <c r="E9" s="16"/>
      <c r="G9" s="754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/>
      </c>
      <c r="H9" s="754"/>
      <c r="I9" s="754"/>
      <c r="J9" s="754"/>
      <c r="K9" s="755" t="s">
        <v>312</v>
      </c>
      <c r="L9" s="363" t="str">
        <f>$L$13</f>
        <v>Repasse (R$)</v>
      </c>
      <c r="M9" s="363" t="s">
        <v>237</v>
      </c>
      <c r="AD9" s="752"/>
      <c r="AE9" s="752"/>
    </row>
    <row r="10" spans="1:31" ht="12.75" customHeight="1" x14ac:dyDescent="0.2">
      <c r="A10" s="751" t="s">
        <v>313</v>
      </c>
      <c r="C10" s="676"/>
      <c r="G10" s="754"/>
      <c r="H10" s="754"/>
      <c r="I10" s="754"/>
      <c r="J10" s="754"/>
      <c r="K10" s="755"/>
      <c r="L10" s="364">
        <f ca="1">Import.Repasse-L24</f>
        <v>0</v>
      </c>
      <c r="M10" s="365">
        <f ca="1">Import.Contrapartida-M24</f>
        <v>1037.4599999999955</v>
      </c>
      <c r="Z10" s="696" t="s">
        <v>215</v>
      </c>
      <c r="AA10" s="696"/>
      <c r="AB10" s="696"/>
      <c r="AD10" s="752" t="s">
        <v>314</v>
      </c>
      <c r="AE10" s="752"/>
    </row>
    <row r="11" spans="1:31" ht="20.100000000000001" customHeight="1" x14ac:dyDescent="0.2">
      <c r="A11" s="751"/>
      <c r="C11" s="676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ht="63.7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 t="s">
        <v>9</v>
      </c>
      <c r="F14" s="367" t="s">
        <v>28</v>
      </c>
      <c r="G14" s="608" t="str">
        <f ca="1">IF(OR($B14="Manual",$B14="SemiAuto"),QCI.DescManual,IF($B14="Automático",INDEX(ORÇAMENTO!$R$15:$R$266,MATCH($A14,ORÇAMENTO!$E$15:$E$266,0)),""))</f>
        <v>EXECUÇÃO DE BASE EM CONCRETO ARMADO PARA INSTALAÇÃO DE PARQUE ADAPTADO NA PRAÇA DA MATRIZ (DIMENSÃO 10,50 M x 10,00 M E COM e=12 CM)</v>
      </c>
      <c r="H14" s="148" t="s">
        <v>460</v>
      </c>
      <c r="I14" s="607">
        <v>105</v>
      </c>
      <c r="J14" s="368" t="str">
        <f ca="1">IF(AND(ISBLANK(E14),ISBLANK(F14)),"",VLOOKUP($F14,OFFSET(DADOS!$A$2,1,MATCH(QCI!$E14,DADOS!$2:$2,0)-1,100,50),2,FALSE))</f>
        <v>m²</v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12491.86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12491.86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12491.86</v>
      </c>
      <c r="X14" s="376">
        <v>0</v>
      </c>
      <c r="Z14" s="377">
        <f t="shared" ref="Z14:Z22" ca="1" si="8">$O14-$AA14-$AB14</f>
        <v>1.8189894035458565E-12</v>
      </c>
      <c r="AA14">
        <f ca="1">IF($B14="Branco",0,IF($B14="Manual",QCI.CPManual,IF($B14="SemiAuto",ROUND(QCI!$AA$3*QCI.InvManual,2),INDEX(ORÇAMENTO!$AA$15:$AA$266,MATCH($A14,ORÇAMENTO!$E$15:$E$266,0)))))</f>
        <v>12491.859999999999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ht="63.75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6">
        <f t="shared" si="2"/>
        <v>2</v>
      </c>
      <c r="E15" s="148" t="s">
        <v>9</v>
      </c>
      <c r="F15" s="367" t="s">
        <v>28</v>
      </c>
      <c r="G15" s="608" t="str">
        <f ca="1">IF(OR($B15="Manual",$B15="SemiAuto"),QCI.DescManual,IF($B15="Automático",INDEX(ORÇAMENTO!$R$15:$R$266,MATCH($A15,ORÇAMENTO!$E$15:$E$266,0)),""))</f>
        <v xml:space="preserve">EXECUÇÃO DE BASE EM CONCRETO ARMADO PARA INSTALAÇÃO DE ACADEMIA AO AR LIVRE NA VILA RURAL DE NOVA UNIÃO (DIMENSÃO 8,50 M x 8,00 M E COM e=12 CM)                                                                                </v>
      </c>
      <c r="H15" s="148" t="s">
        <v>460</v>
      </c>
      <c r="I15" s="607">
        <v>68</v>
      </c>
      <c r="J15" s="368" t="str">
        <f ca="1">IF(AND(ISBLANK(E15),ISBLANK(F15)),"",VLOOKUP($F15,OFFSET(DADOS!$A$2,1,MATCH(QCI!$E15,DADOS!$2:$2,0)-1,100,50),2,FALSE))</f>
        <v>m²</v>
      </c>
      <c r="K15" s="606" t="str">
        <f t="shared" ca="1" si="3"/>
        <v>LOTE 1</v>
      </c>
      <c r="L15" s="369">
        <f t="shared" ca="1" si="4"/>
        <v>0</v>
      </c>
      <c r="M15" s="370">
        <f t="shared" ca="1" si="5"/>
        <v>8471.19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8471.19</v>
      </c>
      <c r="P15" s="579"/>
      <c r="R15" s="609"/>
      <c r="T15" s="610"/>
      <c r="U15" s="374"/>
      <c r="V15" s="611" t="s">
        <v>316</v>
      </c>
      <c r="W15" s="375">
        <f t="shared" ca="1" si="7"/>
        <v>8471.19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8471.19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hidden="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hidden="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hidden="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hidden="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hidden="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hidden="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hidden="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hidden="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3" t="s">
        <v>327</v>
      </c>
      <c r="L24" s="388">
        <f ca="1">SUM(L13:OFFSET(L24,-1,0))</f>
        <v>0</v>
      </c>
      <c r="M24" s="389">
        <f ca="1">SUM(M13:OFFSET(M24,-1,0))</f>
        <v>20963.050000000003</v>
      </c>
      <c r="N24" s="390">
        <f ca="1">SUM(N13:OFFSET(N24,-1,0))</f>
        <v>0</v>
      </c>
      <c r="O24" s="391">
        <f ca="1">SUM(O13:OFFSET(O24,-1,0))</f>
        <v>20963.050000000003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20963.050000000003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3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</row>
    <row r="29" spans="1:31" ht="12.75" customHeight="1" x14ac:dyDescent="0.2"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</row>
    <row r="30" spans="1:31" ht="12.75" customHeight="1" x14ac:dyDescent="0.2"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</row>
    <row r="33" spans="4:12" ht="15" x14ac:dyDescent="0.2">
      <c r="D33" s="705" t="str">
        <f>Import.Município</f>
        <v>CÉU AZUL</v>
      </c>
      <c r="E33" s="705"/>
      <c r="F33" s="705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700">
        <f>DADOS!$F$25</f>
        <v>45012</v>
      </c>
      <c r="E36" s="700"/>
      <c r="F36" s="700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>
    <filterColumn colId="0">
      <customFilters>
        <customFilter operator="notEqual" val=" "/>
      </customFilters>
    </filterColumn>
  </autoFilter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4" t="b">
        <v>0</v>
      </c>
      <c r="B3" s="774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3" t="s">
        <v>146</v>
      </c>
      <c r="E4" s="683"/>
      <c r="F4" s="694" t="s">
        <v>440</v>
      </c>
      <c r="G4" s="694"/>
      <c r="H4" s="694"/>
      <c r="I4" s="184" t="s">
        <v>441</v>
      </c>
      <c r="J4" s="683" t="s">
        <v>201</v>
      </c>
      <c r="K4" s="683"/>
      <c r="L4" s="683"/>
      <c r="M4" s="683"/>
      <c r="N4" s="683"/>
      <c r="O4" s="186" t="s">
        <v>331</v>
      </c>
    </row>
    <row r="5" spans="1:41" ht="12.75" customHeight="1" x14ac:dyDescent="0.2">
      <c r="A5" t="s">
        <v>332</v>
      </c>
      <c r="C5" s="105"/>
      <c r="D5" s="686" t="str">
        <f>Import.Proponente</f>
        <v>MUNICÍPIO DE CÉU AZUL</v>
      </c>
      <c r="E5" s="686"/>
      <c r="F5" s="699">
        <f>Import.CR</f>
        <v>0</v>
      </c>
      <c r="G5" s="699"/>
      <c r="H5" s="699"/>
      <c r="I5" s="416">
        <f>Import.SICONV</f>
        <v>0</v>
      </c>
      <c r="J5" s="686" t="str">
        <f>Import.Apelido</f>
        <v>EXECUÇÃO DE BASES PARA INSTALAÇÃO DE PARQUE ADAPTADO E ACADEMIA AO AR LIVRE</v>
      </c>
      <c r="K5" s="686"/>
      <c r="L5" s="686"/>
      <c r="M5" s="686"/>
      <c r="N5" s="686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3" t="s">
        <v>336</v>
      </c>
      <c r="G7" s="683"/>
      <c r="H7" s="683"/>
      <c r="I7" s="683" t="str">
        <f>IF(TIPOORCAMENTO="Licitado","REGIME DE EXECUÇÃO","MUNICÍPIO / UF")</f>
        <v>MUNICÍPIO / UF</v>
      </c>
      <c r="J7" s="683"/>
      <c r="K7" s="683"/>
      <c r="L7" s="683"/>
      <c r="M7" s="683" t="s">
        <v>337</v>
      </c>
      <c r="N7" s="683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6" t="s">
        <v>208</v>
      </c>
      <c r="D8" s="420">
        <f>Import.CTEF</f>
        <v>0</v>
      </c>
      <c r="E8" s="73">
        <f>Import.empresa</f>
        <v>0</v>
      </c>
      <c r="F8" s="686">
        <f>Import.CNPJ</f>
        <v>0</v>
      </c>
      <c r="G8" s="686"/>
      <c r="H8" s="686"/>
      <c r="I8" s="686" t="str">
        <f>IF(TIPOORCAMENTO="Licitado",Import.RegimeExecução,Import.Município)</f>
        <v>CÉU AZUL</v>
      </c>
      <c r="J8" s="686"/>
      <c r="K8" s="686"/>
      <c r="L8" s="686"/>
      <c r="M8" s="686" t="str">
        <f ca="1">TEXT(IF(BM.medicao=1,Import.DataInicioObra,OFFSET($AB$12,0,BM.medicao-1-$AB$13)+1),"dd/mm/aaaa")&amp;" a "&amp;TEXT(OFFSET($AB$12,0,BM.medicao-$AB$13),"dd/mm/aaaa")</f>
        <v>00/01/1900 a 00/01/1900</v>
      </c>
      <c r="N8" s="686"/>
      <c r="O8" s="541">
        <v>1</v>
      </c>
    </row>
    <row r="9" spans="1:41" ht="12.75" customHeight="1" x14ac:dyDescent="0.2">
      <c r="A9" s="578" t="b">
        <v>1</v>
      </c>
      <c r="B9" s="55"/>
      <c r="C9" s="676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6"/>
      <c r="D10" s="16"/>
      <c r="E10" s="772" t="str">
        <f>IF(ACOMPANHAMENTO="PLE","Foi selecionado na aba 'MENU' o acompanhamento por PLE.",IF(TIPOORCAMENTO="Proposto","Altere na aba 'MENU' o tipo de orçamento para 'Licitado'.",""))</f>
        <v>Foi selecionado na aba 'MENU' o acompanhamento por PLE.</v>
      </c>
      <c r="F10" s="772"/>
      <c r="G10" s="772"/>
      <c r="H10" s="772"/>
      <c r="I10" s="772"/>
      <c r="J10" s="105"/>
      <c r="K10" s="105"/>
      <c r="L10" s="105"/>
      <c r="N10" s="773" t="str">
        <f ca="1">"Realizado Acumulado: "&amp;TEXT(ROUND($O$15/($I$15+10^-12),4),"0,00%")</f>
        <v>Realizado Acumulado: 0,00%</v>
      </c>
      <c r="O10" s="773"/>
    </row>
    <row r="11" spans="1:41" ht="15" customHeight="1" x14ac:dyDescent="0.25">
      <c r="C11" s="676"/>
      <c r="D11" s="105"/>
      <c r="E11" s="772"/>
      <c r="F11" s="772"/>
      <c r="G11" s="772"/>
      <c r="H11" s="772"/>
      <c r="I11" s="772"/>
      <c r="J11" s="105"/>
      <c r="K11" s="105"/>
      <c r="L11" s="105"/>
      <c r="M11" s="105"/>
      <c r="N11" s="773"/>
      <c r="O11" s="773"/>
      <c r="T11" s="771" t="s">
        <v>340</v>
      </c>
      <c r="U11" s="771"/>
      <c r="V11" s="101"/>
      <c r="W11" s="101"/>
      <c r="X11" s="101"/>
      <c r="Y11" s="101"/>
      <c r="Z11" s="60"/>
      <c r="AB11" s="768" t="s">
        <v>341</v>
      </c>
      <c r="AC11" s="768"/>
      <c r="AD11" s="768"/>
      <c r="AE11" s="768"/>
      <c r="AF11" s="768"/>
      <c r="AG11" s="768"/>
      <c r="AH11" s="768"/>
      <c r="AI11" s="768"/>
      <c r="AJ11" s="768"/>
      <c r="AK11" s="768"/>
      <c r="AL11" s="768"/>
      <c r="AM11" s="768"/>
    </row>
    <row r="12" spans="1:41" ht="15" customHeight="1" x14ac:dyDescent="0.25">
      <c r="C12" s="676"/>
      <c r="D12" s="105"/>
      <c r="E12" s="200" t="s">
        <v>342</v>
      </c>
      <c r="F12" s="105"/>
      <c r="G12" s="105"/>
      <c r="H12" s="105"/>
      <c r="I12" s="105"/>
      <c r="J12" s="769" t="str">
        <f ca="1">"Evolução Física "&amp;CHOOSE(MATCH(RegimeExecucao,{"Unitário","Global"},0),"(Qtde.)","(%)")</f>
        <v>Evolução Física (Qtde.)</v>
      </c>
      <c r="K12" s="769"/>
      <c r="L12" s="769"/>
      <c r="M12" s="769" t="s">
        <v>343</v>
      </c>
      <c r="N12" s="769"/>
      <c r="O12" s="769"/>
      <c r="Q12" s="770" t="str">
        <f ca="1">"Aferido (CAIXA) "&amp;CHOOSE(MATCH(RegimeExecucao,{"Unitário","Global"},0),"(Qtde.)","(%)")</f>
        <v>Aferido (CAIXA) (Qtde.)</v>
      </c>
      <c r="R12" s="770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7" t="str">
        <f>"Objeto do CTEF: "&amp;Import.DescLote</f>
        <v>Objeto do CTEF: BASE EM CONCRETO ARMADO</v>
      </c>
      <c r="E15" s="767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3" t="str">
        <f ca="1">"Preencher abaixo com a "&amp;CHOOSE(MATCH(RegimeExecucao,{"Unitário","Global"},0),"QUANTIDADE","PORCENTAGEM")&amp;" executada no PERÍODO"</f>
        <v>Preencher abaixo com a QUANTIDADE executada no PERÍODO</v>
      </c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</row>
    <row r="16" spans="1:41" ht="38.25" x14ac:dyDescent="0.2">
      <c r="A16">
        <f ca="1">ORÇAMENTO!C16</f>
        <v>1</v>
      </c>
      <c r="B16">
        <f ca="1">ORÇAMENTO!D16</f>
        <v>12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EXECUÇÃO DE BASE EM CONCRETO ARMADO PARA INSTALAÇÃO DE PARQUE ADAPTADO NA PRAÇA DA MATRIZ (DIMENSÃO 10,50 M x 10,00 M E COM e=12 CM)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12491.86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11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SERVIÇOS CONTRATADOS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12491.86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PLACA DE OBRA EM CHAPA GALVANIZADA *N. 22*, ADESIVADA, DE *2,4 X 1,2* M INCLUSIVE ESTRUTURA DE FIXAÇÃO</v>
      </c>
      <c r="F18" s="208" t="str">
        <f t="shared" ca="1" si="3"/>
        <v xml:space="preserve">UN </v>
      </c>
      <c r="G18" s="152">
        <f ca="1">IF(RegimeExecucao="Global","",ORÇAMENTO!T18)</f>
        <v>1</v>
      </c>
      <c r="H18" s="152">
        <f ca="1">IF(RegimeExecucao="Global","",ORÇAMENTO!W18)</f>
        <v>621.76</v>
      </c>
      <c r="I18" s="155">
        <f ca="1">ORÇAMENTO!X18</f>
        <v>621.76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FABRICAÇÃO, MONTAGEM E DESMONTAGEM DE FÔRMA PARA DELIMITAÇÃO DO PISO DE CONCRETO, ESPESSURA DE 2,50 CM</v>
      </c>
      <c r="F19" s="208" t="str">
        <f t="shared" ca="1" si="3"/>
        <v xml:space="preserve">M2    </v>
      </c>
      <c r="G19" s="152">
        <f ca="1">IF(RegimeExecucao="Global","",ORÇAMENTO!T19)</f>
        <v>6.15</v>
      </c>
      <c r="H19" s="152">
        <f ca="1">IF(RegimeExecucao="Global","",ORÇAMENTO!W19)</f>
        <v>167.63</v>
      </c>
      <c r="I19" s="155">
        <f ca="1">ORÇAMENTO!X19</f>
        <v>1030.92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/>
      </c>
      <c r="D20" s="147" t="str">
        <f ca="1">ORÇAMENTO!O20</f>
        <v>-</v>
      </c>
      <c r="E20" s="207" t="str">
        <f t="shared" ca="1" si="2"/>
        <v>(Sem Código)</v>
      </c>
      <c r="F20" s="208" t="str">
        <f t="shared" ca="1" si="3"/>
        <v>-</v>
      </c>
      <c r="G20" s="152">
        <f ca="1">IF(RegimeExecucao="Global","",ORÇAMENTO!T20)</f>
        <v>0</v>
      </c>
      <c r="H20" s="152">
        <f ca="1">IF(RegimeExecucao="Global","",ORÇAMENTO!W20)</f>
        <v>0</v>
      </c>
      <c r="I20" s="155">
        <f ca="1">ORÇAMENTO!X20</f>
        <v>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38.25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>F</v>
      </c>
      <c r="D21" s="147" t="str">
        <f ca="1">ORÇAMENTO!O21</f>
        <v>1.1.3.</v>
      </c>
      <c r="E21" s="207" t="str">
        <f t="shared" ca="1" si="2"/>
        <v>COMPACTAÇÃO MECÂNICA DE SOLO PARA EXECUÇÃO DE RADIER, PISO DE CONCRETO OU LAJE SOBRE SOLO, COM COMPACTADOR DE SOLOS A PERCUSSÃO. AF_09/2021</v>
      </c>
      <c r="F21" s="208" t="str">
        <f t="shared" ca="1" si="3"/>
        <v>M2</v>
      </c>
      <c r="G21" s="152">
        <f ca="1">IF(RegimeExecucao="Global","",ORÇAMENTO!T21)</f>
        <v>105</v>
      </c>
      <c r="H21" s="152">
        <f ca="1">IF(RegimeExecucao="Global","",ORÇAMENTO!W21)</f>
        <v>4.4400000000000004</v>
      </c>
      <c r="I21" s="155">
        <f ca="1">ORÇAMENTO!X21</f>
        <v>466.2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ht="38.25" x14ac:dyDescent="0.2">
      <c r="A22" t="str">
        <f ca="1">ORÇAMENTO!C22</f>
        <v>S</v>
      </c>
      <c r="B22">
        <f ca="1">ORÇAMENTO!D22</f>
        <v>0</v>
      </c>
      <c r="C22" s="144" t="str">
        <f t="shared" ca="1" si="1"/>
        <v>F</v>
      </c>
      <c r="D22" s="147" t="str">
        <f ca="1">ORÇAMENTO!O22</f>
        <v>1.1.4.</v>
      </c>
      <c r="E22" s="207" t="str">
        <f t="shared" ca="1" si="2"/>
        <v>LASTRO DE MATERIAL GRANULAR COMPACTADO (PEDRA BRITADA N.2) APLICADO EM PISOSS OU LAJES SOBRE O SOLO, ESPESSURA DE 3,00 CM</v>
      </c>
      <c r="F22" s="208" t="str">
        <f t="shared" ca="1" si="3"/>
        <v xml:space="preserve">M3    </v>
      </c>
      <c r="G22" s="152">
        <f ca="1">IF(RegimeExecucao="Global","",ORÇAMENTO!T22)</f>
        <v>3.15</v>
      </c>
      <c r="H22" s="152">
        <f ca="1">IF(RegimeExecucao="Global","",ORÇAMENTO!W22)</f>
        <v>135.93</v>
      </c>
      <c r="I22" s="155">
        <f ca="1">ORÇAMENTO!X22</f>
        <v>428.18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5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>F</v>
      </c>
      <c r="D23" s="147" t="str">
        <f ca="1">ORÇAMENTO!O23</f>
        <v>1.1.5.</v>
      </c>
      <c r="E23" s="207" t="str">
        <f t="shared" ca="1" si="2"/>
        <v>CONCRETAGEM DE PISO DE CONCRETO USINADO FCK 20 MPA - BOMBEAMENTO, LANÇAMENTO, ADENSAMENTO E ACABAMENTO - INCLUSIVE JUNTAS DE DILATAÇÃO E INSTALAÇÃO E FORNECIMENTO DE CHUMBADORES</v>
      </c>
      <c r="F23" s="208" t="str">
        <f t="shared" ca="1" si="3"/>
        <v xml:space="preserve">M3    </v>
      </c>
      <c r="G23" s="152">
        <f ca="1">IF(RegimeExecucao="Global","",ORÇAMENTO!T23)</f>
        <v>12.6</v>
      </c>
      <c r="H23" s="152">
        <f ca="1">IF(RegimeExecucao="Global","",ORÇAMENTO!W23)</f>
        <v>616.52</v>
      </c>
      <c r="I23" s="155">
        <f ca="1">ORÇAMENTO!X23</f>
        <v>7768.15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38.25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1.1.6.</v>
      </c>
      <c r="E24" s="207" t="str">
        <f t="shared" ca="1" si="2"/>
        <v>TELA DE ACO SOLDADA NERVURADA, CA-60, Q-92, (1,48 KG/M2), DIAMETRO DO FIO = 4,2 MM, LARGURA = 2,45 X 60 M DE COMPRIMENTO, ESPACAMENTO DA MALHA = 15  X 15 CM</v>
      </c>
      <c r="F24" s="208" t="str">
        <f t="shared" ca="1" si="3"/>
        <v xml:space="preserve">M2    </v>
      </c>
      <c r="G24" s="152">
        <f ca="1">IF(RegimeExecucao="Global","",ORÇAMENTO!T24)</f>
        <v>105</v>
      </c>
      <c r="H24" s="152">
        <f ca="1">IF(RegimeExecucao="Global","",ORÇAMENTO!W24)</f>
        <v>20.73</v>
      </c>
      <c r="I24" s="155">
        <f ca="1">ORÇAMENTO!X24</f>
        <v>2176.65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/>
      </c>
      <c r="D25" s="147" t="str">
        <f ca="1">ORÇAMENTO!O25</f>
        <v>-</v>
      </c>
      <c r="E25" s="207" t="str">
        <f t="shared" ca="1" si="2"/>
        <v>(Sem Código)</v>
      </c>
      <c r="F25" s="208" t="str">
        <f t="shared" ca="1" si="3"/>
        <v>-</v>
      </c>
      <c r="G25" s="152">
        <f ca="1">IF(RegimeExecucao="Global","",ORÇAMENTO!T25)</f>
        <v>0</v>
      </c>
      <c r="H25" s="152">
        <f ca="1">IF(RegimeExecucao="Global","",ORÇAMENTO!W25)</f>
        <v>0</v>
      </c>
      <c r="I25" s="155">
        <f ca="1">ORÇAMENTO!X25</f>
        <v>0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/>
      </c>
      <c r="D26" s="147" t="str">
        <f ca="1">ORÇAMENTO!O26</f>
        <v>-</v>
      </c>
      <c r="E26" s="207" t="str">
        <f t="shared" ca="1" si="2"/>
        <v>(Sem Código)</v>
      </c>
      <c r="F26" s="208" t="str">
        <f t="shared" ca="1" si="3"/>
        <v>-</v>
      </c>
      <c r="G26" s="152">
        <f ca="1">IF(RegimeExecucao="Global","",ORÇAMENTO!T26)</f>
        <v>0</v>
      </c>
      <c r="H26" s="152">
        <f ca="1">IF(RegimeExecucao="Global","",ORÇAMENTO!W26)</f>
        <v>0</v>
      </c>
      <c r="I26" s="155">
        <f ca="1">ORÇAMENTO!X26</f>
        <v>0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/>
      </c>
      <c r="D27" s="147" t="str">
        <f ca="1">ORÇAMENTO!O27</f>
        <v>-</v>
      </c>
      <c r="E27" s="207" t="str">
        <f t="shared" ca="1" si="2"/>
        <v>(Sem Código)</v>
      </c>
      <c r="F27" s="208" t="str">
        <f t="shared" ca="1" si="3"/>
        <v>-</v>
      </c>
      <c r="G27" s="152">
        <f ca="1">IF(RegimeExecucao="Global","",ORÇAMENTO!T27)</f>
        <v>0</v>
      </c>
      <c r="H27" s="152">
        <f ca="1">IF(RegimeExecucao="Global","",ORÇAMENTO!W27)</f>
        <v>0</v>
      </c>
      <c r="I27" s="155">
        <f ca="1">ORÇAMENTO!X27</f>
        <v>0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38.25" x14ac:dyDescent="0.2">
      <c r="A28">
        <f ca="1">ORÇAMENTO!C28</f>
        <v>1</v>
      </c>
      <c r="B28">
        <f ca="1">ORÇAMENTO!D28</f>
        <v>238</v>
      </c>
      <c r="C28" s="144" t="str">
        <f t="shared" ca="1" si="1"/>
        <v>F</v>
      </c>
      <c r="D28" s="147" t="str">
        <f ca="1">ORÇAMENTO!O28</f>
        <v>2.</v>
      </c>
      <c r="E28" s="207" t="str">
        <f t="shared" ca="1" si="2"/>
        <v xml:space="preserve">EXECUÇÃO DE BASE EM CONCRETO ARMADO PARA INSTALAÇÃO DE ACADEMIA AO AR LIVRE NA VILA RURAL DE NOVA UNIÃO (DIMENSÃO 8,50 M x 8,00 M E COM e=12 CM)                                                                                </v>
      </c>
      <c r="F28" s="208" t="str">
        <f t="shared" ca="1" si="3"/>
        <v>-</v>
      </c>
      <c r="G28" s="152">
        <f ca="1">IF(RegimeExecucao="Global","",ORÇAMENTO!T28)</f>
        <v>0</v>
      </c>
      <c r="H28" s="152">
        <f ca="1">IF(RegimeExecucao="Global","",ORÇAMENTO!W28)</f>
        <v>0</v>
      </c>
      <c r="I28" s="155">
        <f ca="1">ORÇAMENTO!X28</f>
        <v>8471.19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>
        <f ca="1">ORÇAMENTO!C29</f>
        <v>2</v>
      </c>
      <c r="B29">
        <f ca="1">ORÇAMENTO!D29</f>
        <v>237</v>
      </c>
      <c r="C29" s="144" t="str">
        <f t="shared" ca="1" si="1"/>
        <v>F</v>
      </c>
      <c r="D29" s="147" t="str">
        <f ca="1">ORÇAMENTO!O29</f>
        <v>2.1.</v>
      </c>
      <c r="E29" s="207" t="str">
        <f t="shared" ca="1" si="2"/>
        <v>SERVIÇOS CONTRATADOS</v>
      </c>
      <c r="F29" s="208" t="str">
        <f t="shared" ca="1" si="3"/>
        <v>-</v>
      </c>
      <c r="G29" s="152">
        <f ca="1">IF(RegimeExecucao="Global","",ORÇAMENTO!T29)</f>
        <v>0</v>
      </c>
      <c r="H29" s="152">
        <f ca="1">IF(RegimeExecucao="Global","",ORÇAMENTO!W29)</f>
        <v>0</v>
      </c>
      <c r="I29" s="155">
        <f ca="1">ORÇAMENTO!X29</f>
        <v>8471.19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25.5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>F</v>
      </c>
      <c r="D30" s="147" t="str">
        <f ca="1">ORÇAMENTO!O30</f>
        <v>2.1.1.</v>
      </c>
      <c r="E30" s="207" t="str">
        <f t="shared" ca="1" si="2"/>
        <v>PLACA DE OBRA EM CHAPA GALVANIZADA *N. 22*, ADESIVADA, DE *2,4 X 1,2* M INCLUSIVE ESTRUTURA DE FIXAÇÃO</v>
      </c>
      <c r="F30" s="208" t="str">
        <f t="shared" ca="1" si="3"/>
        <v xml:space="preserve">UN </v>
      </c>
      <c r="G30" s="152">
        <f ca="1">IF(RegimeExecucao="Global","",ORÇAMENTO!T30)</f>
        <v>1</v>
      </c>
      <c r="H30" s="152">
        <f ca="1">IF(RegimeExecucao="Global","",ORÇAMENTO!W30)</f>
        <v>621.76</v>
      </c>
      <c r="I30" s="155">
        <f ca="1">ORÇAMENTO!X30</f>
        <v>621.76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ht="25.5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>F</v>
      </c>
      <c r="D31" s="147" t="str">
        <f ca="1">ORÇAMENTO!O31</f>
        <v>2.1.2.</v>
      </c>
      <c r="E31" s="207" t="str">
        <f t="shared" ca="1" si="2"/>
        <v>FABRICAÇÃO, MONTAGEM E DESMONTAGEM DE FÔRMA PARA DELIMITAÇÃO DO PISO DE CONCRETO, ESPESSURA DE 2,50 CM</v>
      </c>
      <c r="F31" s="208" t="str">
        <f t="shared" ca="1" si="3"/>
        <v xml:space="preserve">M2    </v>
      </c>
      <c r="G31" s="152">
        <f ca="1">IF(RegimeExecucao="Global","",ORÇAMENTO!T31)</f>
        <v>4.95</v>
      </c>
      <c r="H31" s="152">
        <f ca="1">IF(RegimeExecucao="Global","",ORÇAMENTO!W31)</f>
        <v>167.63</v>
      </c>
      <c r="I31" s="155">
        <f ca="1">ORÇAMENTO!X31</f>
        <v>829.77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ht="38.25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>F</v>
      </c>
      <c r="D32" s="147" t="str">
        <f ca="1">ORÇAMENTO!O32</f>
        <v>2.1.3.</v>
      </c>
      <c r="E32" s="207" t="str">
        <f t="shared" ca="1" si="2"/>
        <v>COMPACTAÇÃO MECÂNICA DE SOLO PARA EXECUÇÃO DE RADIER, PISO DE CONCRETO OU LAJE SOBRE SOLO, COM COMPACTADOR DE SOLOS A PERCUSSÃO. AF_09/2021</v>
      </c>
      <c r="F32" s="208" t="str">
        <f t="shared" ca="1" si="3"/>
        <v>M2</v>
      </c>
      <c r="G32" s="152">
        <f ca="1">IF(RegimeExecucao="Global","",ORÇAMENTO!T32)</f>
        <v>68</v>
      </c>
      <c r="H32" s="152">
        <f ca="1">IF(RegimeExecucao="Global","",ORÇAMENTO!W32)</f>
        <v>4.4400000000000004</v>
      </c>
      <c r="I32" s="155">
        <f ca="1">ORÇAMENTO!X32</f>
        <v>301.92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(Sem Código)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ht="38.25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>F</v>
      </c>
      <c r="D34" s="147" t="str">
        <f ca="1">ORÇAMENTO!O34</f>
        <v>2.1.4.</v>
      </c>
      <c r="E34" s="207" t="str">
        <f t="shared" ca="1" si="2"/>
        <v>LASTRO DE MATERIAL GRANULAR COMPACTADO (PEDRA BRITADA N.2) APLICADO EM PISOSS OU LAJES SOBRE O SOLO, ESPESSURA DE 3,00 CM</v>
      </c>
      <c r="F34" s="208" t="str">
        <f t="shared" ca="1" si="3"/>
        <v xml:space="preserve">M3    </v>
      </c>
      <c r="G34" s="152">
        <f ca="1">IF(RegimeExecucao="Global","",ORÇAMENTO!T34)</f>
        <v>2.04</v>
      </c>
      <c r="H34" s="152">
        <f ca="1">IF(RegimeExecucao="Global","",ORÇAMENTO!W34)</f>
        <v>135.93</v>
      </c>
      <c r="I34" s="155">
        <f ca="1">ORÇAMENTO!X34</f>
        <v>277.3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ht="5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>F</v>
      </c>
      <c r="D35" s="147" t="str">
        <f ca="1">ORÇAMENTO!O35</f>
        <v>2.1.5.</v>
      </c>
      <c r="E35" s="207" t="str">
        <f t="shared" ca="1" si="2"/>
        <v>CONCRETAGEM DE PISO DE CONCRETO USINADO FCK 20 MPA - BOMBEAMENTO, LANÇAMENTO, ADENSAMENTO E ACABAMENTO - INCLUSIVE JUNTAS DE DILATAÇÃO E INSTALAÇÃO E FORNECIMENTO DE CHUMBADORES</v>
      </c>
      <c r="F35" s="208" t="str">
        <f t="shared" ca="1" si="3"/>
        <v xml:space="preserve">M3    </v>
      </c>
      <c r="G35" s="152">
        <f ca="1">IF(RegimeExecucao="Global","",ORÇAMENTO!T35)</f>
        <v>8.16</v>
      </c>
      <c r="H35" s="152">
        <f ca="1">IF(RegimeExecucao="Global","",ORÇAMENTO!W35)</f>
        <v>616.52</v>
      </c>
      <c r="I35" s="155">
        <f ca="1">ORÇAMENTO!X35</f>
        <v>5030.8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ht="38.25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>F</v>
      </c>
      <c r="D36" s="147" t="str">
        <f ca="1">ORÇAMENTO!O36</f>
        <v>2.1.6.</v>
      </c>
      <c r="E36" s="207" t="str">
        <f t="shared" ca="1" si="2"/>
        <v>TELA DE ACO SOLDADA NERVURADA, CA-60, Q-92, (1,48 KG/M2), DIAMETRO DO FIO = 4,2 MM, LARGURA = 2,45 X 60 M DE COMPRIMENTO, ESPACAMENTO DA MALHA = 15  X 15 CM</v>
      </c>
      <c r="F36" s="208" t="str">
        <f t="shared" ca="1" si="3"/>
        <v xml:space="preserve">M2    </v>
      </c>
      <c r="G36" s="152">
        <f ca="1">IF(RegimeExecucao="Global","",ORÇAMENTO!T36)</f>
        <v>68</v>
      </c>
      <c r="H36" s="152">
        <f ca="1">IF(RegimeExecucao="Global","",ORÇAMENTO!W36)</f>
        <v>20.73</v>
      </c>
      <c r="I36" s="155">
        <f ca="1">ORÇAMENTO!X36</f>
        <v>1409.64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/>
      </c>
      <c r="D37" s="147" t="str">
        <f ca="1">ORÇAMENTO!O37</f>
        <v>-</v>
      </c>
      <c r="E37" s="207" t="str">
        <f t="shared" ca="1" si="2"/>
        <v>(Sem Código)</v>
      </c>
      <c r="F37" s="208" t="str">
        <f t="shared" ca="1" si="3"/>
        <v>-</v>
      </c>
      <c r="G37" s="152">
        <f ca="1">IF(RegimeExecucao="Global","",ORÇAMENTO!T37)</f>
        <v>0</v>
      </c>
      <c r="H37" s="152">
        <f ca="1">IF(RegimeExecucao="Global","",ORÇAMENTO!W37)</f>
        <v>0</v>
      </c>
      <c r="I37" s="155">
        <f ca="1">ORÇAMENTO!X37</f>
        <v>0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/>
      </c>
      <c r="D38" s="147" t="str">
        <f ca="1">ORÇAMENTO!O38</f>
        <v>-</v>
      </c>
      <c r="E38" s="207" t="str">
        <f t="shared" ca="1" si="2"/>
        <v>(Sem Código)</v>
      </c>
      <c r="F38" s="208" t="str">
        <f t="shared" ca="1" si="3"/>
        <v>-</v>
      </c>
      <c r="G38" s="152">
        <f ca="1">IF(RegimeExecucao="Global","",ORÇAMENTO!T38)</f>
        <v>0</v>
      </c>
      <c r="H38" s="152">
        <f ca="1">IF(RegimeExecucao="Global","",ORÇAMENTO!W38)</f>
        <v>0</v>
      </c>
      <c r="I38" s="155">
        <f ca="1">ORÇAMENTO!X38</f>
        <v>0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/>
      </c>
      <c r="D39" s="147" t="str">
        <f ca="1">ORÇAMENTO!O39</f>
        <v>-</v>
      </c>
      <c r="E39" s="207" t="str">
        <f t="shared" ca="1" si="2"/>
        <v>(Sem Código)</v>
      </c>
      <c r="F39" s="208" t="str">
        <f t="shared" ca="1" si="3"/>
        <v>-</v>
      </c>
      <c r="G39" s="152">
        <f ca="1">IF(RegimeExecucao="Global","",ORÇAMENTO!T39)</f>
        <v>0</v>
      </c>
      <c r="H39" s="152">
        <f ca="1">IF(RegimeExecucao="Global","",ORÇAMENTO!W39)</f>
        <v>0</v>
      </c>
      <c r="I39" s="155">
        <f ca="1">ORÇAMENTO!X39</f>
        <v>0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(Sem Código)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(Sem Código)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/>
      </c>
      <c r="D42" s="147" t="str">
        <f ca="1">ORÇAMENTO!O42</f>
        <v>-</v>
      </c>
      <c r="E42" s="207" t="str">
        <f t="shared" ca="1" si="2"/>
        <v>(Sem Código)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0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/>
      </c>
      <c r="D43" s="147" t="str">
        <f ca="1">ORÇAMENTO!O43</f>
        <v>-</v>
      </c>
      <c r="E43" s="207" t="str">
        <f t="shared" ca="1" si="2"/>
        <v>(Sem Código)</v>
      </c>
      <c r="F43" s="208" t="str">
        <f t="shared" ca="1" si="3"/>
        <v>-</v>
      </c>
      <c r="G43" s="152">
        <f ca="1">IF(RegimeExecucao="Global","",ORÇAMENTO!T43)</f>
        <v>0</v>
      </c>
      <c r="H43" s="152">
        <f ca="1">IF(RegimeExecucao="Global","",ORÇAMENTO!W43)</f>
        <v>0</v>
      </c>
      <c r="I43" s="155">
        <f ca="1">ORÇAMENTO!X43</f>
        <v>0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(Sem Código)</v>
      </c>
      <c r="F44" s="208" t="str">
        <f t="shared" ca="1" si="3"/>
        <v>-</v>
      </c>
      <c r="G44" s="152">
        <f ca="1">IF(RegimeExecucao="Global","",ORÇAMENTO!T44)</f>
        <v>0</v>
      </c>
      <c r="H44" s="152">
        <f ca="1">IF(RegimeExecucao="Global","",ORÇAMENTO!W44)</f>
        <v>0</v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/>
      </c>
      <c r="D45" s="147" t="str">
        <f ca="1">ORÇAMENTO!O45</f>
        <v>-</v>
      </c>
      <c r="E45" s="207" t="str">
        <f t="shared" ca="1" si="2"/>
        <v>(Sem Código)</v>
      </c>
      <c r="F45" s="208" t="str">
        <f t="shared" ca="1" si="3"/>
        <v>-</v>
      </c>
      <c r="G45" s="152">
        <f ca="1">IF(RegimeExecucao="Global","",ORÇAMENTO!T45)</f>
        <v>0</v>
      </c>
      <c r="H45" s="152">
        <f ca="1">IF(RegimeExecucao="Global","",ORÇAMENTO!W45)</f>
        <v>0</v>
      </c>
      <c r="I45" s="155">
        <f ca="1">ORÇAMENTO!X45</f>
        <v>0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(Sem Código)</v>
      </c>
      <c r="F46" s="208" t="str">
        <f t="shared" ca="1" si="3"/>
        <v>-</v>
      </c>
      <c r="G46" s="152">
        <f ca="1">IF(RegimeExecucao="Global","",ORÇAMENTO!T46)</f>
        <v>0</v>
      </c>
      <c r="H46" s="152">
        <f ca="1">IF(RegimeExecucao="Global","",ORÇAMENTO!W46)</f>
        <v>0</v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(Sem Código)</v>
      </c>
      <c r="F47" s="208" t="str">
        <f t="shared" ca="1" si="3"/>
        <v>-</v>
      </c>
      <c r="G47" s="152">
        <f ca="1">IF(RegimeExecucao="Global","",ORÇAMENTO!T47)</f>
        <v>0</v>
      </c>
      <c r="H47" s="152">
        <f ca="1">IF(RegimeExecucao="Global","",ORÇAMENTO!W47)</f>
        <v>0</v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(Sem Código)</v>
      </c>
      <c r="F48" s="208" t="str">
        <f t="shared" ca="1" si="3"/>
        <v>-</v>
      </c>
      <c r="G48" s="152">
        <f ca="1">IF(RegimeExecucao="Global","",ORÇAMENTO!T48)</f>
        <v>0</v>
      </c>
      <c r="H48" s="152">
        <f ca="1">IF(RegimeExecucao="Global","",ORÇAMENTO!W48)</f>
        <v>0</v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/>
      </c>
      <c r="D49" s="147" t="str">
        <f ca="1">ORÇAMENTO!O49</f>
        <v>-</v>
      </c>
      <c r="E49" s="207" t="str">
        <f t="shared" ca="1" si="2"/>
        <v>(Sem Código)</v>
      </c>
      <c r="F49" s="208" t="str">
        <f t="shared" ca="1" si="3"/>
        <v>-</v>
      </c>
      <c r="G49" s="152">
        <f ca="1">IF(RegimeExecucao="Global","",ORÇAMENTO!T49)</f>
        <v>0</v>
      </c>
      <c r="H49" s="152">
        <f ca="1">IF(RegimeExecucao="Global","",ORÇAMENTO!W49)</f>
        <v>0</v>
      </c>
      <c r="I49" s="155">
        <f ca="1">ORÇAMENTO!X49</f>
        <v>0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/>
      </c>
      <c r="D50" s="147" t="str">
        <f ca="1">ORÇAMENTO!O50</f>
        <v>-</v>
      </c>
      <c r="E50" s="207" t="str">
        <f t="shared" ca="1" si="2"/>
        <v>(Sem Código)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0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(Sem Código)</v>
      </c>
      <c r="F51" s="208" t="str">
        <f t="shared" ca="1" si="3"/>
        <v>-</v>
      </c>
      <c r="G51" s="152">
        <f ca="1">IF(RegimeExecucao="Global","",ORÇAMENTO!T51)</f>
        <v>0</v>
      </c>
      <c r="H51" s="152">
        <f ca="1">IF(RegimeExecucao="Global","",ORÇAMENTO!W51)</f>
        <v>0</v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(Sem Código)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(Sem Código)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(Sem Código)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(Sem Código)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(Sem Código)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(Sem Código)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(Sem Código)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(Sem Código)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(Sem Código)</v>
      </c>
      <c r="F63" s="208" t="str">
        <f t="shared" ca="1" si="3"/>
        <v>-</v>
      </c>
      <c r="G63" s="152">
        <f ca="1">IF(RegimeExecucao="Global","",ORÇAMENTO!T63)</f>
        <v>0</v>
      </c>
      <c r="H63" s="152">
        <f ca="1">IF(RegimeExecucao="Global","",ORÇAMENTO!W63)</f>
        <v>0</v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(Sem Código)</v>
      </c>
      <c r="F64" s="208" t="str">
        <f t="shared" ca="1" si="3"/>
        <v>-</v>
      </c>
      <c r="G64" s="152">
        <f ca="1">IF(RegimeExecucao="Global","",ORÇAMENTO!T64)</f>
        <v>0</v>
      </c>
      <c r="H64" s="152">
        <f ca="1">IF(RegimeExecucao="Global","",ORÇAMENTO!W64)</f>
        <v>0</v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(Sem Código)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(Sem Código)</v>
      </c>
      <c r="F67" s="208" t="str">
        <f t="shared" ca="1" si="3"/>
        <v>-</v>
      </c>
      <c r="G67" s="152">
        <f ca="1">IF(RegimeExecucao="Global","",ORÇAMENTO!T67)</f>
        <v>0</v>
      </c>
      <c r="H67" s="152">
        <f ca="1">IF(RegimeExecucao="Global","",ORÇAMENTO!W67)</f>
        <v>0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(Sem Código)</v>
      </c>
      <c r="F68" s="208" t="str">
        <f t="shared" ca="1" si="3"/>
        <v>-</v>
      </c>
      <c r="G68" s="152">
        <f ca="1">IF(RegimeExecucao="Global","",ORÇAMENTO!T68)</f>
        <v>0</v>
      </c>
      <c r="H68" s="152">
        <f ca="1">IF(RegimeExecucao="Global","",ORÇAMENTO!W68)</f>
        <v>0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(Sem Código)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(Sem Código)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(Sem Código)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(Sem Código)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(Sem Código)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(Sem Código)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(Sem Código)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(Sem Código)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0</v>
      </c>
      <c r="H80" s="152">
        <f ca="1">IF(RegimeExecucao="Global","",ORÇAMENTO!W80)</f>
        <v>0</v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(Sem Código)</v>
      </c>
      <c r="F82" s="208" t="str">
        <f t="shared" ca="1" si="14"/>
        <v>-</v>
      </c>
      <c r="G82" s="152">
        <f ca="1">IF(RegimeExecucao="Global","",ORÇAMENTO!T82)</f>
        <v>0</v>
      </c>
      <c r="H82" s="152">
        <f ca="1">IF(RegimeExecucao="Global","",ORÇAMENTO!W82)</f>
        <v>0</v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0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(Sem Código)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(Sem Código)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(Sem Código)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(Sem Código)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(Sem Código)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(Sem Código)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(Sem Código)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4" t="s">
        <v>186</v>
      </c>
      <c r="E268" s="764"/>
      <c r="F268" s="764"/>
      <c r="G268" s="764"/>
      <c r="H268" s="764"/>
      <c r="I268" s="764"/>
      <c r="J268" s="764"/>
      <c r="K268" s="764"/>
      <c r="L268" s="764"/>
      <c r="M268" s="764"/>
      <c r="N268" s="764"/>
      <c r="O268" s="764"/>
      <c r="T268" s="765" t="s">
        <v>352</v>
      </c>
      <c r="U268" s="765"/>
      <c r="V268" s="765"/>
      <c r="W268" s="765"/>
      <c r="X268" s="765"/>
      <c r="Y268" s="765"/>
      <c r="Z268" s="765"/>
    </row>
    <row r="269" spans="1:41" ht="12.75" customHeight="1" x14ac:dyDescent="0.2">
      <c r="C269" s="105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T269" s="766"/>
      <c r="U269" s="766"/>
      <c r="V269" s="766"/>
      <c r="W269" s="766"/>
      <c r="X269" s="766"/>
      <c r="Y269" s="766"/>
      <c r="Z269" s="766"/>
    </row>
    <row r="270" spans="1:41" ht="12.75" customHeight="1" x14ac:dyDescent="0.2">
      <c r="C270" s="105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T270" s="766"/>
      <c r="U270" s="766"/>
      <c r="V270" s="766"/>
      <c r="W270" s="766"/>
      <c r="X270" s="766"/>
      <c r="Y270" s="766"/>
      <c r="Z270" s="766"/>
    </row>
    <row r="271" spans="1:41" ht="12.75" customHeight="1" x14ac:dyDescent="0.2">
      <c r="C271" s="105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T271" s="766"/>
      <c r="U271" s="766"/>
      <c r="V271" s="766"/>
      <c r="W271" s="766"/>
      <c r="X271" s="766"/>
      <c r="Y271" s="766"/>
      <c r="Z271" s="766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4"/>
      <c r="F273" s="704"/>
      <c r="G273" s="704"/>
      <c r="H273" s="704"/>
      <c r="I273" s="704"/>
      <c r="J273" s="704"/>
      <c r="K273" s="704"/>
      <c r="L273" s="704"/>
    </row>
    <row r="274" spans="3:26" x14ac:dyDescent="0.2">
      <c r="C274" s="105"/>
      <c r="D274" s="762"/>
      <c r="E274" s="762"/>
      <c r="F274" s="762"/>
      <c r="G274" s="762"/>
      <c r="H274" s="762"/>
      <c r="I274" s="762"/>
    </row>
    <row r="275" spans="3:26" x14ac:dyDescent="0.2">
      <c r="C275" s="105"/>
      <c r="D275" s="760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0"/>
      <c r="F275" s="760"/>
      <c r="G275" s="760"/>
      <c r="H275" s="760"/>
      <c r="I275" s="760"/>
      <c r="J275" s="760"/>
      <c r="K275" s="760"/>
      <c r="L275" s="760"/>
      <c r="M275" s="760"/>
      <c r="N275" s="760"/>
      <c r="O275" s="760"/>
    </row>
    <row r="276" spans="3:26" ht="39.950000000000003" customHeight="1" x14ac:dyDescent="0.2">
      <c r="C276" s="105"/>
      <c r="E276" s="175" t="str">
        <f>Import.Município</f>
        <v>CÉU AZUL</v>
      </c>
      <c r="J276" s="761"/>
      <c r="K276" s="761"/>
      <c r="L276" s="761"/>
      <c r="M276" s="761"/>
      <c r="N276" s="105"/>
      <c r="O276" s="105"/>
      <c r="W276" s="761"/>
      <c r="X276" s="761"/>
      <c r="Y276" s="761"/>
      <c r="Z276" s="761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GUSTAVO FRANCESCHINI</v>
      </c>
      <c r="L278" s="96"/>
      <c r="M278" s="105"/>
      <c r="N278" s="105"/>
      <c r="O278" s="105"/>
      <c r="W278" s="95" t="s">
        <v>107</v>
      </c>
      <c r="X278" s="759"/>
      <c r="Y278" s="759"/>
      <c r="Z278" s="759"/>
    </row>
    <row r="279" spans="3:26" x14ac:dyDescent="0.2">
      <c r="C279" s="105"/>
      <c r="E279" s="601">
        <f ca="1">DADOS!$F$47</f>
        <v>45014</v>
      </c>
      <c r="J279" s="95" t="s">
        <v>126</v>
      </c>
      <c r="K279" s="354" t="str">
        <v>ENGENHEIRO CIVIL</v>
      </c>
      <c r="L279" s="96"/>
      <c r="M279" s="105"/>
      <c r="N279" s="105"/>
      <c r="O279" s="105"/>
      <c r="W279" s="95" t="s">
        <v>354</v>
      </c>
      <c r="X279" s="759"/>
      <c r="Y279" s="759"/>
      <c r="Z279" s="759"/>
    </row>
    <row r="280" spans="3:26" x14ac:dyDescent="0.2">
      <c r="C280" s="105"/>
      <c r="E280" s="178" t="s">
        <v>188</v>
      </c>
      <c r="J280" s="95" t="s">
        <v>108</v>
      </c>
      <c r="K280" s="354" t="str">
        <v>126178/D</v>
      </c>
      <c r="L280" s="96"/>
      <c r="M280" s="105"/>
      <c r="N280" s="105"/>
      <c r="O280" s="105"/>
      <c r="W280" s="95" t="s">
        <v>108</v>
      </c>
      <c r="X280" s="759"/>
      <c r="Y280" s="759"/>
      <c r="Z280" s="759"/>
    </row>
    <row r="281" spans="3:26" x14ac:dyDescent="0.2">
      <c r="J281" s="95" t="s">
        <v>109</v>
      </c>
      <c r="K281" s="355" t="str">
        <v>1720231313229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4" t="s">
        <v>146</v>
      </c>
      <c r="F3" s="694"/>
      <c r="G3" s="694"/>
      <c r="H3" s="694"/>
      <c r="I3" s="683" t="s">
        <v>440</v>
      </c>
      <c r="J3" s="683"/>
      <c r="K3" s="683"/>
      <c r="L3" s="112" t="s">
        <v>441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699" t="str">
        <f>Import.Proponente</f>
        <v>MUNICÍPIO DE CÉU AZUL</v>
      </c>
      <c r="F4" s="699"/>
      <c r="G4" s="699"/>
      <c r="H4" s="699"/>
      <c r="I4" s="686">
        <f>Import.CR</f>
        <v>0</v>
      </c>
      <c r="J4" s="686"/>
      <c r="K4" s="686"/>
      <c r="L4" s="73">
        <f>Import.SICONV</f>
        <v>0</v>
      </c>
      <c r="M4" s="775" t="s">
        <v>306</v>
      </c>
      <c r="N4" s="776"/>
      <c r="O4" s="777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3" t="s">
        <v>201</v>
      </c>
      <c r="F6" s="683"/>
      <c r="G6" s="683"/>
      <c r="H6" s="683"/>
      <c r="I6" s="803" t="s">
        <v>305</v>
      </c>
      <c r="J6" s="803"/>
      <c r="K6" s="803"/>
      <c r="L6" s="803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6" t="s">
        <v>208</v>
      </c>
      <c r="E7" s="686" t="str">
        <f>Import.Apelido</f>
        <v>EXECUÇÃO DE BASES PARA INSTALAÇÃO DE PARQUE ADAPTADO E ACADEMIA AO AR LIVRE</v>
      </c>
      <c r="F7" s="686"/>
      <c r="G7" s="686"/>
      <c r="H7" s="686"/>
      <c r="I7" s="800" t="str">
        <f>Import.Município</f>
        <v>CÉU AZUL</v>
      </c>
      <c r="J7" s="800"/>
      <c r="K7" s="800"/>
      <c r="L7" s="800"/>
      <c r="M7" s="451">
        <f>Import.Repasse</f>
        <v>0</v>
      </c>
      <c r="N7" s="452">
        <f>Import.Contrapartida</f>
        <v>22000.51</v>
      </c>
      <c r="O7" s="451">
        <f>M7+N7</f>
        <v>22000.51</v>
      </c>
      <c r="P7" s="542">
        <f>IF(ACOMPANHAMENTO="PLE",PLE.Medicao,BM.medicao)</f>
        <v>1</v>
      </c>
      <c r="R7" s="185"/>
      <c r="S7" s="185"/>
      <c r="T7" s="185"/>
      <c r="U7" s="185"/>
    </row>
    <row r="8" spans="1:41" x14ac:dyDescent="0.2">
      <c r="D8" s="676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6"/>
      <c r="G9" s="801" t="s">
        <v>360</v>
      </c>
      <c r="H9" s="801"/>
      <c r="I9" s="801" t="s">
        <v>361</v>
      </c>
      <c r="J9" s="801"/>
      <c r="K9" s="453"/>
      <c r="L9" s="802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6"/>
      <c r="G10" s="688" t="str">
        <f ca="1">IF(J10="-","-",IF($P$24&lt;J10,"Atrasada",IF($P$24&gt;J10,"Adiantada","Normal")))</f>
        <v>Normal</v>
      </c>
      <c r="H10" s="688"/>
      <c r="I10" s="456">
        <f>DATE(YEAR($L$35),MONTH($L$35),1)</f>
        <v>44986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802"/>
      <c r="M10" s="458">
        <f ca="1">QCI!L10</f>
        <v>0</v>
      </c>
      <c r="N10" s="365">
        <f ca="1">QCI!M10</f>
        <v>1037.4599999999955</v>
      </c>
      <c r="P10" s="455"/>
      <c r="R10" s="185"/>
      <c r="S10" s="185"/>
      <c r="T10" s="185"/>
      <c r="U10" s="185"/>
      <c r="AC10" s="797" t="s">
        <v>363</v>
      </c>
      <c r="AD10" s="797"/>
      <c r="AE10" s="797"/>
      <c r="AF10" s="797"/>
      <c r="AG10" s="797"/>
      <c r="AH10" s="797"/>
      <c r="AJ10" s="797" t="s">
        <v>4</v>
      </c>
      <c r="AK10" s="797"/>
      <c r="AL10" s="797"/>
      <c r="AM10" s="797"/>
      <c r="AN10" s="797"/>
      <c r="AO10" s="797"/>
    </row>
    <row r="11" spans="1:41" ht="20.100000000000001" customHeight="1" x14ac:dyDescent="0.2">
      <c r="D11" s="676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8" t="str">
        <f>IF(CAIXA.Modo,"Valores Aferidos (R$)","Valores Medidos (R$)")</f>
        <v>Valores Medidos (R$)</v>
      </c>
      <c r="Z11" s="798"/>
      <c r="AC11" s="799" t="s">
        <v>364</v>
      </c>
      <c r="AD11" s="799"/>
      <c r="AE11" s="799"/>
      <c r="AF11" s="799" t="s">
        <v>365</v>
      </c>
      <c r="AG11" s="799"/>
      <c r="AH11" s="799"/>
      <c r="AJ11" s="799" t="s">
        <v>364</v>
      </c>
      <c r="AK11" s="799"/>
      <c r="AL11" s="799"/>
      <c r="AM11" s="799" t="s">
        <v>365</v>
      </c>
      <c r="AN11" s="799"/>
      <c r="AO11" s="799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 t="e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#N/A</v>
      </c>
      <c r="AD12" s="234" t="e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#N/A</v>
      </c>
      <c r="AE12" s="234" t="e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#N/A</v>
      </c>
      <c r="AF12" s="234" t="e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#N/A</v>
      </c>
      <c r="AG12" s="234" t="e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#N/A</v>
      </c>
      <c r="AH12" s="234" t="e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#N/A</v>
      </c>
      <c r="AJ12" s="234">
        <f ca="1">IF(ACOMPANHAMENTO&lt;&gt;"BM",0,SUMPRODUCT(OFFSET(BM!$M$15,$A12,0,$B12)*(OFFSET(BM!$A$15,$A12,0,$B12)="S")*OFFSET(ORÇAMENTO!AA$15,$A12,0,$B12)/(OFFSET(ORÇAMENTO!$X$15,$A12,0,$B12)+10^-12)))</f>
        <v>0</v>
      </c>
      <c r="AK12" s="234">
        <f ca="1">IF(ACOMPANHAMENTO&lt;&gt;"BM",0,SUMPRODUCT(OFFSET(BM!$M$15,$A12,0,$B12)*(OFFSET(BM!$A$15,$A12,0,$B12)="S")*OFFSET(ORÇAMENTO!AB$15,$A12,0,$B12)/(OFFSET(ORÇAMENTO!$X$15,$A12,0,$B12)+10^-12)))</f>
        <v>0</v>
      </c>
      <c r="AL12" s="234">
        <f ca="1">IF(ACOMPANHAMENTO&lt;&gt;"BM",0,OFFSET(BM!$M$15,$A12,0))</f>
        <v>0</v>
      </c>
      <c r="AM12" s="234">
        <f ca="1">IF(ACOMPANHAMENTO&lt;&gt;"BM",0,SUMPRODUCT(OFFSET(BM!$O$15,$A12,0,$B12)*(OFFSET(BM!$A$15,$A12,0,$B12)="S")*OFFSET(ORÇAMENTO!AA$15,$A12,0,$B12)/(OFFSET(ORÇAMENTO!$X$15,$A12,0,$B12)+10^-12)))</f>
        <v>0</v>
      </c>
      <c r="AN12" s="234">
        <f ca="1">IF(ACOMPANHAMENTO&lt;&gt;"BM",0,SUMPRODUCT(OFFSET(BM!$O$15,$A12,0,$B12)*(OFFSET(BM!$A$15,$A12,0,$B12)="S")*OFFSET(ORÇAMENTO!AB$15,$A12,0,$B12)/(OFFSET(ORÇAMENTO!$X$15,$A12,0,$B12)+10^-12)))</f>
        <v>0</v>
      </c>
      <c r="AO12" s="234">
        <f ca="1">IF(ACOMPANHAMENTO&lt;&gt;"BM",0,OFFSET(BM!$O$15,$A12,0))</f>
        <v>0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ht="38.25" x14ac:dyDescent="0.2">
      <c r="A14">
        <f ca="1">MATCH(E14,ORÇAMENTO!$E$15:$E$266,0)-1</f>
        <v>1</v>
      </c>
      <c r="B14">
        <f ca="1">IF(ISERROR($A14),NA(),OFFSET(ORÇAMENTO!$D$15,$A14,0))</f>
        <v>12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EXECUÇÃO DE BASE EM CONCRETO ARMADO PARA INSTALAÇÃO DE PARQUE ADAPTADO NA PRAÇA DA MATRIZ (DIMENSÃO 10,50 M x 10,00 M E COM e=12 CM)</v>
      </c>
      <c r="G14" s="463" t="str">
        <f>QCI!H14</f>
        <v>Análise Concluída / A Licitar</v>
      </c>
      <c r="H14" s="464">
        <f>QCI!I14</f>
        <v>105</v>
      </c>
      <c r="I14" s="465" t="str">
        <f ca="1">QCI!J14</f>
        <v>m²</v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12491.86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ht="38.25" x14ac:dyDescent="0.2">
      <c r="A15">
        <f ca="1">MATCH(E15,ORÇAMENTO!$E$15:$E$266,0)-1</f>
        <v>13</v>
      </c>
      <c r="B15">
        <f ca="1">IF(ISERROR($A15),NA(),OFFSET(ORÇAMENTO!$D$15,$A15,0))</f>
        <v>238</v>
      </c>
      <c r="C15" t="str">
        <f ca="1">QCI!B15</f>
        <v>Automático</v>
      </c>
      <c r="D15" t="str">
        <f t="shared" ca="1" si="0"/>
        <v>F</v>
      </c>
      <c r="E15" s="461">
        <f>QCI!D15</f>
        <v>2</v>
      </c>
      <c r="F15" s="462" t="str">
        <f ca="1">QCI!G15</f>
        <v xml:space="preserve">EXECUÇÃO DE BASE EM CONCRETO ARMADO PARA INSTALAÇÃO DE ACADEMIA AO AR LIVRE NA VILA RURAL DE NOVA UNIÃO (DIMENSÃO 8,50 M x 8,00 M E COM e=12 CM)                                                                                </v>
      </c>
      <c r="G15" s="463" t="str">
        <f>QCI!H15</f>
        <v>Análise Concluída / A Licitar</v>
      </c>
      <c r="H15" s="464">
        <f>QCI!I15</f>
        <v>68</v>
      </c>
      <c r="I15" s="465" t="str">
        <f ca="1">QCI!J15</f>
        <v>m²</v>
      </c>
      <c r="J15" s="466" t="str">
        <f ca="1">QCI!K15</f>
        <v>LOTE 1</v>
      </c>
      <c r="K15" s="467">
        <f t="shared" ca="1" si="1"/>
        <v>1</v>
      </c>
      <c r="L15" s="468">
        <f ca="1">QCI!$O15</f>
        <v>8471.19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 t="e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#N/A</v>
      </c>
      <c r="AD16" s="234" t="e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#N/A</v>
      </c>
      <c r="AE16" s="234" t="e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#N/A</v>
      </c>
      <c r="AF16" s="234" t="e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#N/A</v>
      </c>
      <c r="AG16" s="234" t="e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#N/A</v>
      </c>
      <c r="AH16" s="234" t="e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#N/A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 t="e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#N/A</v>
      </c>
      <c r="AD17" s="234" t="e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#N/A</v>
      </c>
      <c r="AE17" s="234" t="e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#N/A</v>
      </c>
      <c r="AF17" s="234" t="e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#N/A</v>
      </c>
      <c r="AG17" s="234" t="e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#N/A</v>
      </c>
      <c r="AH17" s="234" t="e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#N/A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 t="e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#N/A</v>
      </c>
      <c r="AD18" s="234" t="e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#N/A</v>
      </c>
      <c r="AE18" s="234" t="e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#N/A</v>
      </c>
      <c r="AF18" s="234" t="e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#N/A</v>
      </c>
      <c r="AG18" s="234" t="e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#N/A</v>
      </c>
      <c r="AH18" s="234" t="e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#N/A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 t="e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#N/A</v>
      </c>
      <c r="AD19" s="234" t="e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#N/A</v>
      </c>
      <c r="AE19" s="234" t="e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#N/A</v>
      </c>
      <c r="AF19" s="234" t="e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#N/A</v>
      </c>
      <c r="AG19" s="234" t="e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#N/A</v>
      </c>
      <c r="AH19" s="234" t="e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#N/A</v>
      </c>
      <c r="AJ19" s="234">
        <f ca="1">IF(ACOMPANHAMENTO&lt;&gt;"BM",0,SUMPRODUCT(OFFSET(BM!$M$15,$A19,0,$B19)*(OFFSET(BM!$A$15,$A19,0,$B19)="S")*OFFSET(ORÇAMENTO!AA$15,$A19,0,$B19)/(OFFSET(ORÇAMENTO!$X$15,$A19,0,$B19)+10^-12)))</f>
        <v>0</v>
      </c>
      <c r="AK19" s="234">
        <f ca="1">IF(ACOMPANHAMENTO&lt;&gt;"BM",0,SUMPRODUCT(OFFSET(BM!$M$15,$A19,0,$B19)*(OFFSET(BM!$A$15,$A19,0,$B19)="S")*OFFSET(ORÇAMENTO!AB$15,$A19,0,$B19)/(OFFSET(ORÇAMENTO!$X$15,$A19,0,$B19)+10^-12)))</f>
        <v>0</v>
      </c>
      <c r="AL19" s="234">
        <f ca="1">IF(ACOMPANHAMENTO&lt;&gt;"BM",0,OFFSET(BM!$M$15,$A19,0))</f>
        <v>0</v>
      </c>
      <c r="AM19" s="234">
        <f ca="1">IF(ACOMPANHAMENTO&lt;&gt;"BM",0,SUMPRODUCT(OFFSET(BM!$O$15,$A19,0,$B19)*(OFFSET(BM!$A$15,$A19,0,$B19)="S")*OFFSET(ORÇAMENTO!AA$15,$A19,0,$B19)/(OFFSET(ORÇAMENTO!$X$15,$A19,0,$B19)+10^-12)))</f>
        <v>0</v>
      </c>
      <c r="AN19" s="234">
        <f ca="1">IF(ACOMPANHAMENTO&lt;&gt;"BM",0,SUMPRODUCT(OFFSET(BM!$O$15,$A19,0,$B19)*(OFFSET(BM!$A$15,$A19,0,$B19)="S")*OFFSET(ORÇAMENTO!AB$15,$A19,0,$B19)/(OFFSET(ORÇAMENTO!$X$15,$A19,0,$B19)+10^-12)))</f>
        <v>0</v>
      </c>
      <c r="AO19" s="234">
        <f ca="1">IF(ACOMPANHAMENTO&lt;&gt;"BM",0,OFFSET(BM!$O$15,$A19,0))</f>
        <v>0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 t="e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#N/A</v>
      </c>
      <c r="AD20" s="234" t="e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#N/A</v>
      </c>
      <c r="AE20" s="234" t="e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#N/A</v>
      </c>
      <c r="AF20" s="234" t="e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#N/A</v>
      </c>
      <c r="AG20" s="234" t="e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#N/A</v>
      </c>
      <c r="AH20" s="234" t="e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#N/A</v>
      </c>
      <c r="AJ20" s="234">
        <f ca="1">IF(ACOMPANHAMENTO&lt;&gt;"BM",0,SUMPRODUCT(OFFSET(BM!$M$15,$A20,0,$B20)*(OFFSET(BM!$A$15,$A20,0,$B20)="S")*OFFSET(ORÇAMENTO!AA$15,$A20,0,$B20)/(OFFSET(ORÇAMENTO!$X$15,$A20,0,$B20)+10^-12)))</f>
        <v>0</v>
      </c>
      <c r="AK20" s="234">
        <f ca="1">IF(ACOMPANHAMENTO&lt;&gt;"BM",0,SUMPRODUCT(OFFSET(BM!$M$15,$A20,0,$B20)*(OFFSET(BM!$A$15,$A20,0,$B20)="S")*OFFSET(ORÇAMENTO!AB$15,$A20,0,$B20)/(OFFSET(ORÇAMENTO!$X$15,$A20,0,$B20)+10^-12)))</f>
        <v>0</v>
      </c>
      <c r="AL20" s="234">
        <f ca="1">IF(ACOMPANHAMENTO&lt;&gt;"BM",0,OFFSET(BM!$M$15,$A20,0))</f>
        <v>0</v>
      </c>
      <c r="AM20" s="234">
        <f ca="1">IF(ACOMPANHAMENTO&lt;&gt;"BM",0,SUMPRODUCT(OFFSET(BM!$O$15,$A20,0,$B20)*(OFFSET(BM!$A$15,$A20,0,$B20)="S")*OFFSET(ORÇAMENTO!AA$15,$A20,0,$B20)/(OFFSET(ORÇAMENTO!$X$15,$A20,0,$B20)+10^-12)))</f>
        <v>0</v>
      </c>
      <c r="AN20" s="234">
        <f ca="1">IF(ACOMPANHAMENTO&lt;&gt;"BM",0,SUMPRODUCT(OFFSET(BM!$O$15,$A20,0,$B20)*(OFFSET(BM!$A$15,$A20,0,$B20)="S")*OFFSET(ORÇAMENTO!AB$15,$A20,0,$B20)/(OFFSET(ORÇAMENTO!$X$15,$A20,0,$B20)+10^-12)))</f>
        <v>0</v>
      </c>
      <c r="AO20" s="234">
        <f ca="1">IF(ACOMPANHAMENTO&lt;&gt;"BM",0,OFFSET(BM!$O$15,$A20,0))</f>
        <v>0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 t="e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#N/A</v>
      </c>
      <c r="AD21" s="234" t="e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#N/A</v>
      </c>
      <c r="AE21" s="234" t="e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#N/A</v>
      </c>
      <c r="AF21" s="234" t="e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#N/A</v>
      </c>
      <c r="AG21" s="234" t="e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#N/A</v>
      </c>
      <c r="AH21" s="234" t="e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#N/A</v>
      </c>
      <c r="AJ21" s="234">
        <f ca="1">IF(ACOMPANHAMENTO&lt;&gt;"BM",0,SUMPRODUCT(OFFSET(BM!$M$15,$A21,0,$B21)*(OFFSET(BM!$A$15,$A21,0,$B21)="S")*OFFSET(ORÇAMENTO!AA$15,$A21,0,$B21)/(OFFSET(ORÇAMENTO!$X$15,$A21,0,$B21)+10^-12)))</f>
        <v>0</v>
      </c>
      <c r="AK21" s="234">
        <f ca="1">IF(ACOMPANHAMENTO&lt;&gt;"BM",0,SUMPRODUCT(OFFSET(BM!$M$15,$A21,0,$B21)*(OFFSET(BM!$A$15,$A21,0,$B21)="S")*OFFSET(ORÇAMENTO!AB$15,$A21,0,$B21)/(OFFSET(ORÇAMENTO!$X$15,$A21,0,$B21)+10^-12)))</f>
        <v>0</v>
      </c>
      <c r="AL21" s="234">
        <f ca="1">IF(ACOMPANHAMENTO&lt;&gt;"BM",0,OFFSET(BM!$M$15,$A21,0))</f>
        <v>0</v>
      </c>
      <c r="AM21" s="234">
        <f ca="1">IF(ACOMPANHAMENTO&lt;&gt;"BM",0,SUMPRODUCT(OFFSET(BM!$O$15,$A21,0,$B21)*(OFFSET(BM!$A$15,$A21,0,$B21)="S")*OFFSET(ORÇAMENTO!AA$15,$A21,0,$B21)/(OFFSET(ORÇAMENTO!$X$15,$A21,0,$B21)+10^-12)))</f>
        <v>0</v>
      </c>
      <c r="AN21" s="234">
        <f ca="1">IF(ACOMPANHAMENTO&lt;&gt;"BM",0,SUMPRODUCT(OFFSET(BM!$O$15,$A21,0,$B21)*(OFFSET(BM!$A$15,$A21,0,$B21)="S")*OFFSET(ORÇAMENTO!AB$15,$A21,0,$B21)/(OFFSET(ORÇAMENTO!$X$15,$A21,0,$B21)+10^-12)))</f>
        <v>0</v>
      </c>
      <c r="AO21" s="234">
        <f ca="1">IF(ACOMPANHAMENTO&lt;&gt;"BM",0,OFFSET(BM!$O$15,$A21,0))</f>
        <v>0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 t="e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#N/A</v>
      </c>
      <c r="AD22" s="234" t="e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#N/A</v>
      </c>
      <c r="AE22" s="234" t="e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#N/A</v>
      </c>
      <c r="AF22" s="234" t="e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#N/A</v>
      </c>
      <c r="AG22" s="234" t="e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#N/A</v>
      </c>
      <c r="AH22" s="234" t="e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#N/A</v>
      </c>
      <c r="AJ22" s="234">
        <f ca="1">IF(ACOMPANHAMENTO&lt;&gt;"BM",0,SUMPRODUCT(OFFSET(BM!$M$15,$A22,0,$B22)*(OFFSET(BM!$A$15,$A22,0,$B22)="S")*OFFSET(ORÇAMENTO!AA$15,$A22,0,$B22)/(OFFSET(ORÇAMENTO!$X$15,$A22,0,$B22)+10^-12)))</f>
        <v>0</v>
      </c>
      <c r="AK22" s="234">
        <f ca="1">IF(ACOMPANHAMENTO&lt;&gt;"BM",0,SUMPRODUCT(OFFSET(BM!$M$15,$A22,0,$B22)*(OFFSET(BM!$A$15,$A22,0,$B22)="S")*OFFSET(ORÇAMENTO!AB$15,$A22,0,$B22)/(OFFSET(ORÇAMENTO!$X$15,$A22,0,$B22)+10^-12)))</f>
        <v>0</v>
      </c>
      <c r="AL22" s="234">
        <f ca="1">IF(ACOMPANHAMENTO&lt;&gt;"BM",0,OFFSET(BM!$M$15,$A22,0))</f>
        <v>0</v>
      </c>
      <c r="AM22" s="234">
        <f ca="1">IF(ACOMPANHAMENTO&lt;&gt;"BM",0,SUMPRODUCT(OFFSET(BM!$O$15,$A22,0,$B22)*(OFFSET(BM!$A$15,$A22,0,$B22)="S")*OFFSET(ORÇAMENTO!AA$15,$A22,0,$B22)/(OFFSET(ORÇAMENTO!$X$15,$A22,0,$B22)+10^-12)))</f>
        <v>0</v>
      </c>
      <c r="AN22" s="234">
        <f ca="1">IF(ACOMPANHAMENTO&lt;&gt;"BM",0,SUMPRODUCT(OFFSET(BM!$O$15,$A22,0,$B22)*(OFFSET(BM!$A$15,$A22,0,$B22)="S")*OFFSET(ORÇAMENTO!AB$15,$A22,0,$B22)/(OFFSET(ORÇAMENTO!$X$15,$A22,0,$B22)+10^-12)))</f>
        <v>0</v>
      </c>
      <c r="AO22" s="234">
        <f ca="1">IF(ACOMPANHAMENTO&lt;&gt;"BM",0,OFFSET(BM!$O$15,$A22,0))</f>
        <v>0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 t="e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#N/A</v>
      </c>
      <c r="AD23" s="234" t="e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#N/A</v>
      </c>
      <c r="AE23" s="234" t="e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#N/A</v>
      </c>
      <c r="AF23" s="234" t="e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#N/A</v>
      </c>
      <c r="AG23" s="234" t="e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#N/A</v>
      </c>
      <c r="AH23" s="234" t="e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#N/A</v>
      </c>
      <c r="AJ23" s="234">
        <f ca="1">IF(ACOMPANHAMENTO&lt;&gt;"BM",0,SUMPRODUCT(OFFSET(BM!$M$15,$A23,0,$B23)*(OFFSET(BM!$A$15,$A23,0,$B23)="S")*OFFSET(ORÇAMENTO!AA$15,$A23,0,$B23)/(OFFSET(ORÇAMENTO!$X$15,$A23,0,$B23)+10^-12)))</f>
        <v>0</v>
      </c>
      <c r="AK23" s="234">
        <f ca="1">IF(ACOMPANHAMENTO&lt;&gt;"BM",0,SUMPRODUCT(OFFSET(BM!$M$15,$A23,0,$B23)*(OFFSET(BM!$A$15,$A23,0,$B23)="S")*OFFSET(ORÇAMENTO!AB$15,$A23,0,$B23)/(OFFSET(ORÇAMENTO!$X$15,$A23,0,$B23)+10^-12)))</f>
        <v>0</v>
      </c>
      <c r="AL23" s="234">
        <f ca="1">IF(ACOMPANHAMENTO&lt;&gt;"BM",0,OFFSET(BM!$M$15,$A23,0))</f>
        <v>0</v>
      </c>
      <c r="AM23" s="234">
        <f ca="1">IF(ACOMPANHAMENTO&lt;&gt;"BM",0,SUMPRODUCT(OFFSET(BM!$O$15,$A23,0,$B23)*(OFFSET(BM!$A$15,$A23,0,$B23)="S")*OFFSET(ORÇAMENTO!AA$15,$A23,0,$B23)/(OFFSET(ORÇAMENTO!$X$15,$A23,0,$B23)+10^-12)))</f>
        <v>0</v>
      </c>
      <c r="AN23" s="234">
        <f ca="1">IF(ACOMPANHAMENTO&lt;&gt;"BM",0,SUMPRODUCT(OFFSET(BM!$O$15,$A23,0,$B23)*(OFFSET(BM!$A$15,$A23,0,$B23)="S")*OFFSET(ORÇAMENTO!AB$15,$A23,0,$B23)/(OFFSET(ORÇAMENTO!$X$15,$A23,0,$B23)+10^-12)))</f>
        <v>0</v>
      </c>
      <c r="AO23" s="234">
        <f ca="1">IF(ACOMPANHAMENTO&lt;&gt;"BM",0,OFFSET(BM!$O$15,$A23,0))</f>
        <v>0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5" t="s">
        <v>375</v>
      </c>
      <c r="K24" s="786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7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8" t="str">
        <f>IF(import.recurso="FGTS","Financiamento","Repasse")</f>
        <v>Repasse</v>
      </c>
      <c r="K25" s="789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7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0" t="s">
        <v>380</v>
      </c>
      <c r="K26" s="791"/>
      <c r="L26" s="490">
        <f ca="1">QCI!M24</f>
        <v>20963.050000000003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7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2" t="s">
        <v>357</v>
      </c>
      <c r="K27" s="79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7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4" t="s">
        <v>359</v>
      </c>
      <c r="K28" s="795"/>
      <c r="L28" s="501">
        <f ca="1">SUM(L13:OFFSET(L24,-1,0))</f>
        <v>20963.050000000003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7"/>
      <c r="X28" s="505"/>
      <c r="Y28" s="506"/>
      <c r="Z28" s="507"/>
    </row>
    <row r="29" spans="1:41" x14ac:dyDescent="0.2">
      <c r="O29" s="796" t="str">
        <f ca="1">"Acumulado Anterior:  "&amp;TEXT($M$28/($L$28+10^-12),"0,00%")</f>
        <v>Acumulado Anterior:  0,00%</v>
      </c>
      <c r="P29" s="79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8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80"/>
      <c r="R31" s="106"/>
      <c r="S31" s="106"/>
      <c r="T31" s="106"/>
      <c r="U31" s="106"/>
    </row>
    <row r="32" spans="1:41" ht="12.75" customHeight="1" x14ac:dyDescent="0.2">
      <c r="E32" s="778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80"/>
      <c r="R32" s="106"/>
      <c r="S32" s="106"/>
      <c r="T32" s="106"/>
      <c r="U32" s="106"/>
      <c r="Y32" s="508"/>
      <c r="Z32" s="508"/>
    </row>
    <row r="33" spans="5:21" ht="12.75" customHeight="1" x14ac:dyDescent="0.2">
      <c r="E33" s="781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5" t="str">
        <f>Import.Município</f>
        <v>CÉU AZUL</v>
      </c>
      <c r="F35" s="705"/>
      <c r="G35" s="705"/>
      <c r="I35" s="509"/>
      <c r="J35" s="101"/>
      <c r="L35" s="715">
        <f>DADOS!$F$25</f>
        <v>45012</v>
      </c>
      <c r="M35" s="715"/>
      <c r="N35" s="715"/>
      <c r="O35" s="715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84" t="str">
        <f>IF(CAIXA.Modo,BM!X278,DADOS!F50)</f>
        <v>GUSTAVO FRANCESCHINI</v>
      </c>
      <c r="N40" s="784"/>
      <c r="O40" s="784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84" t="str">
        <f>IF(CAIXA.Modo,BM!X279,DADOS!F51)</f>
        <v>ENGENHEIRO CIVIL</v>
      </c>
      <c r="N41" s="784"/>
      <c r="O41" s="784"/>
      <c r="R41" s="106"/>
      <c r="S41" s="106"/>
      <c r="T41" s="106"/>
      <c r="U41" s="106"/>
    </row>
    <row r="42" spans="5:21" x14ac:dyDescent="0.2">
      <c r="L42" s="95" t="s">
        <v>108</v>
      </c>
      <c r="M42" s="784" t="str">
        <f>IF(CAIXA.Modo,BM!X280,DADOS!F52)</f>
        <v>126178/D</v>
      </c>
      <c r="N42" s="784"/>
      <c r="O42" s="784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 t="str">
        <f>IF(CAIXA.Modo,"",DADOS!F53)</f>
        <v>1720231313229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59"/>
      <c r="G47" s="759"/>
      <c r="L47" s="95" t="s">
        <v>107</v>
      </c>
      <c r="M47" s="759"/>
      <c r="N47" s="759"/>
      <c r="O47" s="759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59"/>
      <c r="G48" s="759"/>
      <c r="L48" s="95" t="str">
        <f>IF(CAIXA.Modo,"Função:","Cargo:")</f>
        <v>Cargo:</v>
      </c>
      <c r="M48" s="759"/>
      <c r="N48" s="759"/>
      <c r="O48" s="759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59"/>
      <c r="G49" s="759"/>
      <c r="L49" s="95" t="str">
        <f>IF(CAIXA.Modo,"Matrícula:","")</f>
        <v/>
      </c>
      <c r="M49" s="759"/>
      <c r="N49" s="759"/>
      <c r="O49" s="759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2"/>
      <c r="C1" s="822"/>
      <c r="D1" s="66"/>
      <c r="E1" s="66"/>
      <c r="F1" s="66"/>
      <c r="G1" s="656" t="s">
        <v>139</v>
      </c>
    </row>
    <row r="2" spans="2:17" x14ac:dyDescent="0.2">
      <c r="B2" s="822"/>
      <c r="C2" s="822"/>
      <c r="D2" s="511"/>
      <c r="E2" s="511"/>
      <c r="F2" s="511"/>
      <c r="G2" s="657" t="s">
        <v>381</v>
      </c>
    </row>
    <row r="3" spans="2:17" ht="26.1" customHeight="1" x14ac:dyDescent="0.2">
      <c r="B3" s="822"/>
      <c r="C3" s="822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2"/>
      <c r="C4" s="822"/>
      <c r="D4" s="511"/>
      <c r="E4" s="511"/>
      <c r="F4" s="511"/>
      <c r="G4" s="511"/>
      <c r="I4" s="823" t="s">
        <v>383</v>
      </c>
      <c r="J4" s="819" t="s">
        <v>384</v>
      </c>
      <c r="K4" s="819" t="s">
        <v>385</v>
      </c>
      <c r="L4" s="819" t="s">
        <v>386</v>
      </c>
    </row>
    <row r="5" spans="2:17" x14ac:dyDescent="0.2">
      <c r="I5" s="823"/>
      <c r="J5" s="819"/>
      <c r="K5" s="819"/>
      <c r="L5" s="819"/>
    </row>
    <row r="6" spans="2:17" x14ac:dyDescent="0.2">
      <c r="B6" s="636" t="s">
        <v>387</v>
      </c>
      <c r="C6" s="820"/>
      <c r="D6" s="820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20963.050000000003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1" t="str">
        <f>CONCATENATE(RRE!$E$35,", ",TEXT(RRE!$L$35,"dd"" de ""mmmm"" de ""aaaa"))</f>
        <v>CÉU AZUL, 27 de março de 2023</v>
      </c>
      <c r="C8" s="821"/>
      <c r="D8" s="821"/>
      <c r="E8" s="821"/>
      <c r="F8" s="821"/>
      <c r="G8" s="821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5" t="s">
        <v>389</v>
      </c>
      <c r="C10" s="815"/>
      <c r="D10" s="815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442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5" t="str">
        <f ca="1">CONCATENATE(RRE.Numero,"ª"," Solicitação de ",IF(import.recurso="OGU","Desbloqueio","Desembolso")," de Recursos.")</f>
        <v>1ª Solicitação de Desembolso de Recursos.</v>
      </c>
      <c r="D14" s="815"/>
      <c r="E14" s="815"/>
      <c r="F14" s="815"/>
      <c r="G14" s="815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6"/>
      <c r="E15" s="816"/>
      <c r="F15" s="816"/>
      <c r="G15" s="816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6"/>
      <c r="D16" s="816"/>
      <c r="E16" s="816"/>
      <c r="F16" s="816"/>
      <c r="G16" s="816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7" t="str">
        <f>Import.DescLote</f>
        <v>BASE EM CONCRETO ARMADO</v>
      </c>
      <c r="D18" s="817"/>
      <c r="E18" s="817"/>
      <c r="F18" s="817"/>
      <c r="G18" s="817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MUNICÍPIO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8"/>
      <c r="E29" s="818"/>
      <c r="F29" s="818"/>
      <c r="G29" s="818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6" t="str">
        <f>IF(import.recurso="FGTS","Financiamento:","Repasse:")</f>
        <v>Repasse:</v>
      </c>
      <c r="C30" s="806"/>
      <c r="D30" s="648">
        <f ca="1">RRE!L25</f>
        <v>0</v>
      </c>
      <c r="E30" s="648">
        <f ca="1">RRE!N25</f>
        <v>0</v>
      </c>
      <c r="F30" s="807">
        <f ca="1">RRE!O25</f>
        <v>0</v>
      </c>
      <c r="G30" s="807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6" t="s">
        <v>396</v>
      </c>
      <c r="C31" s="806"/>
      <c r="D31" s="648">
        <f ca="1">RRE!L26</f>
        <v>20963.050000000003</v>
      </c>
      <c r="E31" s="648">
        <f ca="1">RRE!N26</f>
        <v>0</v>
      </c>
      <c r="F31" s="807">
        <f ca="1">RRE!O26</f>
        <v>0</v>
      </c>
      <c r="G31" s="807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6" t="s">
        <v>284</v>
      </c>
      <c r="C32" s="806"/>
      <c r="D32" s="648">
        <f ca="1">RRE!L27</f>
        <v>0</v>
      </c>
      <c r="E32" s="648">
        <f ca="1">RRE!N27</f>
        <v>0</v>
      </c>
      <c r="F32" s="807">
        <f ca="1">RRE!O27</f>
        <v>0</v>
      </c>
      <c r="G32" s="807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6" t="s">
        <v>285</v>
      </c>
      <c r="C33" s="806"/>
      <c r="D33" s="648">
        <f ca="1">RRE!L28</f>
        <v>20963.050000000003</v>
      </c>
      <c r="E33" s="648">
        <f ca="1">RRE!N28</f>
        <v>0</v>
      </c>
      <c r="F33" s="807">
        <f ca="1">RRE!O28</f>
        <v>0</v>
      </c>
      <c r="G33" s="807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6" t="s">
        <v>397</v>
      </c>
      <c r="C34" s="806"/>
      <c r="D34" s="649" t="s">
        <v>165</v>
      </c>
      <c r="E34" s="650">
        <f ca="1">RRE!$N$28/(RRE!$L$28+10^-12)</f>
        <v>0</v>
      </c>
      <c r="F34" s="808">
        <f ca="1">RRE!P24</f>
        <v>0</v>
      </c>
      <c r="G34" s="808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09" t="str">
        <f ca="1">IF(RRE.Numero&gt;1,"2. Encaminhamos ainda a documentação relativa à prestação de contas da etapa físico-financeira anterior.","")</f>
        <v/>
      </c>
      <c r="C37" s="809"/>
      <c r="D37" s="809"/>
      <c r="E37" s="809"/>
      <c r="F37" s="809"/>
      <c r="G37" s="809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09"/>
      <c r="C38" s="809"/>
      <c r="D38" s="809"/>
      <c r="E38" s="809"/>
      <c r="F38" s="809"/>
      <c r="G38" s="809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09" t="str">
        <f ca="1">IF(AND(RRE.Numero&gt;1,NOT(ISBLANK(Import.SICONV))),"3. Na oportunidade, informamos que a execução financeira da parcela anterior está devidamente comprovada no SICONV.","")</f>
        <v/>
      </c>
      <c r="C39" s="809"/>
      <c r="D39" s="809"/>
      <c r="E39" s="809"/>
      <c r="F39" s="809"/>
      <c r="G39" s="809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09"/>
      <c r="C40" s="809"/>
      <c r="D40" s="809"/>
      <c r="E40" s="809"/>
      <c r="F40" s="809"/>
      <c r="G40" s="809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09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09"/>
      <c r="D42" s="809"/>
      <c r="E42" s="809"/>
      <c r="F42" s="809"/>
      <c r="G42" s="809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09"/>
      <c r="C43" s="809"/>
      <c r="D43" s="809"/>
      <c r="E43" s="809"/>
      <c r="F43" s="809"/>
      <c r="G43" s="809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09"/>
      <c r="C44" s="809"/>
      <c r="D44" s="809"/>
      <c r="E44" s="809"/>
      <c r="F44" s="809"/>
      <c r="G44" s="809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09"/>
      <c r="C45" s="809"/>
      <c r="D45" s="809"/>
      <c r="E45" s="809"/>
      <c r="F45" s="809"/>
      <c r="G45" s="809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09"/>
      <c r="C46" s="809"/>
      <c r="D46" s="809"/>
      <c r="E46" s="809"/>
      <c r="F46" s="809"/>
      <c r="G46" s="809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4" t="str">
        <f>DADOS!$F$28</f>
        <v>LAURINDO SPEROTTO</v>
      </c>
      <c r="C54" s="804"/>
      <c r="D54" s="804"/>
      <c r="E54" s="804"/>
      <c r="F54" s="804"/>
      <c r="G54" s="804"/>
    </row>
    <row r="55" spans="2:7" x14ac:dyDescent="0.2">
      <c r="B55" s="804" t="str">
        <f>DADOS!$F$29</f>
        <v>PREFEITO</v>
      </c>
      <c r="C55" s="804"/>
      <c r="D55" s="804"/>
      <c r="E55" s="804"/>
      <c r="F55" s="804"/>
      <c r="G55" s="804"/>
    </row>
    <row r="56" spans="2:7" x14ac:dyDescent="0.2">
      <c r="B56" s="805"/>
      <c r="C56" s="805"/>
      <c r="D56" s="805"/>
      <c r="E56" s="805"/>
      <c r="F56" s="805"/>
      <c r="G56" s="805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2023-03-29T14:19:56Z</cp:lastPrinted>
  <dcterms:created xsi:type="dcterms:W3CDTF">1997-01-10T22:22:50Z</dcterms:created>
  <dcterms:modified xsi:type="dcterms:W3CDTF">2023-03-29T14:20:37Z</dcterms:modified>
</cp:coreProperties>
</file>